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0" windowHeight="6735" tabRatio="638" firstSheet="2" activeTab="7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  <sheet name="травень 2020" sheetId="5" r:id="rId5"/>
    <sheet name="червень 2020" sheetId="6" r:id="rId6"/>
    <sheet name="липень 2020" sheetId="7" r:id="rId7"/>
    <sheet name="серпень 2020" sheetId="8" r:id="rId8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6">'липень 2020'!$B$1:$AW$179</definedName>
    <definedName name="_xlnm.Print_Area" localSheetId="1">'лютий 2020'!$B$1:$AM$177</definedName>
    <definedName name="_xlnm.Print_Area" localSheetId="7">'серпень 2020'!$B$1:$AW$179</definedName>
    <definedName name="_xlnm.Print_Area" localSheetId="0">'січень 2020'!$B$1:$AN$175</definedName>
    <definedName name="_xlnm.Print_Area" localSheetId="4">'травень 2020'!$B$1:$AW$178</definedName>
    <definedName name="_xlnm.Print_Area" localSheetId="5">'червень 2020'!$B$1:$AW$179</definedName>
  </definedNames>
  <calcPr fullCalcOnLoad="1"/>
</workbook>
</file>

<file path=xl/sharedStrings.xml><?xml version="1.0" encoding="utf-8"?>
<sst xmlns="http://schemas.openxmlformats.org/spreadsheetml/2006/main" count="857" uniqueCount="83">
  <si>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</si>
  <si>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</si>
  <si>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</si>
  <si>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</si>
  <si>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</si>
  <si>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</si>
  <si>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</si>
  <si>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</si>
  <si>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</si>
  <si>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</si>
  <si>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</si>
  <si>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</si>
  <si>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</si>
  <si>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</si>
  <si>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</si>
  <si>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</si>
  <si>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</si>
  <si>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</si>
  <si>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</si>
  <si>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</si>
  <si>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</si>
  <si>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</si>
  <si>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</si>
  <si>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</si>
  <si>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</si>
  <si>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</si>
  <si>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</si>
  <si>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</si>
  <si>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</si>
  <si>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</si>
  <si>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</si>
  <si>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</si>
  <si>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</si>
  <si>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</si>
  <si>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</si>
  <si>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</si>
  <si>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</si>
  <si>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</si>
  <si>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</si>
  <si>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</si>
  <si>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</si>
  <si>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</si>
  <si>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</si>
  <si>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</si>
  <si>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</si>
  <si>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</si>
  <si>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</si>
  <si>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</si>
  <si>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</si>
  <si>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</si>
  <si>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</si>
  <si>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</si>
  <si>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</si>
  <si>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</si>
  <si>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</si>
  <si>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</si>
  <si>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</si>
  <si>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</si>
  <si>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</si>
  <si>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</si>
  <si>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</si>
  <si>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</si>
  <si>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</si>
  <si>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</si>
  <si>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</si>
  <si>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</si>
  <si>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</si>
  <si>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</si>
  <si>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</si>
  <si>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</si>
  <si>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</si>
  <si>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</si>
  <si>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</si>
  <si>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</si>
  <si>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</si>
  <si>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</si>
  <si>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 (9770)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</si>
  <si>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2020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</si>
  <si>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2020 року</t>
    </r>
  </si>
  <si>
    <t>Здійснення заходів з землеустрою (7130)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</si>
  <si>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2020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</si>
  <si>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серпні 2020 року</t>
    </r>
  </si>
  <si>
    <t>,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</si>
</sst>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.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7.75"/>
      <color indexed="8"/>
      <name val="Calibri"/>
      <family val="0"/>
    </font>
    <font>
      <b/>
      <sz val="3.5"/>
      <color indexed="8"/>
      <name val="Calibri"/>
      <family val="0"/>
    </font>
    <font>
      <b/>
      <sz val="2"/>
      <color indexed="8"/>
      <name val="Calibri"/>
      <family val="0"/>
    </font>
    <font>
      <b/>
      <sz val="4.6"/>
      <color indexed="8"/>
      <name val="Calibri"/>
      <family val="0"/>
    </font>
    <font>
      <b/>
      <sz val="7.1"/>
      <color indexed="8"/>
      <name val="Calibri"/>
      <family val="0"/>
    </font>
    <font>
      <b/>
      <sz val="9.2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52" fillId="25" borderId="0" applyNumberFormat="0" applyBorder="0" applyAlignment="0" applyProtection="0"/>
    <xf numFmtId="0" fontId="16" fillId="16" borderId="0" applyNumberFormat="0" applyBorder="0" applyAlignment="0" applyProtection="0"/>
    <xf numFmtId="0" fontId="52" fillId="26" borderId="0" applyNumberFormat="0" applyBorder="0" applyAlignment="0" applyProtection="0"/>
    <xf numFmtId="0" fontId="16" fillId="18" borderId="0" applyNumberFormat="0" applyBorder="0" applyAlignment="0" applyProtection="0"/>
    <xf numFmtId="0" fontId="52" fillId="27" borderId="0" applyNumberFormat="0" applyBorder="0" applyAlignment="0" applyProtection="0"/>
    <xf numFmtId="0" fontId="16" fillId="28" borderId="0" applyNumberFormat="0" applyBorder="0" applyAlignment="0" applyProtection="0"/>
    <xf numFmtId="0" fontId="52" fillId="29" borderId="0" applyNumberFormat="0" applyBorder="0" applyAlignment="0" applyProtection="0"/>
    <xf numFmtId="0" fontId="16" fillId="30" borderId="0" applyNumberFormat="0" applyBorder="0" applyAlignment="0" applyProtection="0"/>
    <xf numFmtId="0" fontId="52" fillId="31" borderId="0" applyNumberFormat="0" applyBorder="0" applyAlignment="0" applyProtection="0"/>
    <xf numFmtId="0" fontId="16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40" borderId="1" applyNumberFormat="0" applyAlignment="0" applyProtection="0"/>
    <xf numFmtId="0" fontId="54" fillId="41" borderId="2" applyNumberFormat="0" applyAlignment="0" applyProtection="0"/>
    <xf numFmtId="0" fontId="55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42" borderId="7" applyNumberFormat="0" applyAlignment="0" applyProtection="0"/>
    <xf numFmtId="0" fontId="61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67" fillId="46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12" fillId="48" borderId="10" xfId="0" applyNumberFormat="1" applyFont="1" applyFill="1" applyBorder="1" applyAlignment="1">
      <alignment horizontal="center" vertical="center" wrapText="1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80" fontId="12" fillId="47" borderId="10" xfId="0" applyNumberFormat="1" applyFont="1" applyFill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5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0" fontId="69" fillId="0" borderId="0" xfId="0" applyFont="1" applyAlignment="1">
      <alignment/>
    </xf>
    <xf numFmtId="180" fontId="69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80" fontId="71" fillId="0" borderId="0" xfId="0" applyNumberFormat="1" applyFont="1" applyAlignment="1">
      <alignment/>
    </xf>
    <xf numFmtId="180" fontId="12" fillId="51" borderId="10" xfId="0" applyNumberFormat="1" applyFont="1" applyFill="1" applyBorder="1" applyAlignment="1">
      <alignment horizontal="center" vertical="center" wrapText="1"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5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48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576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833"/>
          <c:w val="0.980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"/>
          <c:y val="0.165"/>
          <c:w val="0.7225"/>
          <c:h val="0.7677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42669215"/>
        <c:axId val="48478616"/>
      </c:line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69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9352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0875"/>
          <c:w val="0.3002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5"/>
          <c:y val="0.8382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9"/>
          <c:w val="0.98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4775"/>
          <c:w val="0.7175"/>
          <c:h val="0.782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33654361"/>
        <c:axId val="34453794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54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4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9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085"/>
          <c:w val="0.29975"/>
          <c:h val="0.8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2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2020'!$B$87:$B$93</c:f>
              <c:strCache/>
            </c:strRef>
          </c:cat>
          <c:val>
            <c:numRef>
              <c:f>'травень 2020'!$AJ$87:$AJ$93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4275"/>
          <c:w val="0.934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2020'!$AM$20:$AM$27</c:f>
              <c:strCache/>
            </c:strRef>
          </c:cat>
          <c:val>
            <c:numRef>
              <c:f>'травень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175"/>
          <c:w val="0.981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75"/>
          <c:y val="0.15975"/>
          <c:w val="0.72175"/>
          <c:h val="0.773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2020'!$D$8:$AH$8</c:f>
              <c:numCache/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4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2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1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2020'!$B$9:$B$16</c:f>
              <c:strCache/>
            </c:strRef>
          </c:cat>
          <c:val>
            <c:numRef>
              <c:f>'травень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07775"/>
          <c:w val="0.3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2020'!$B$88:$B$94</c:f>
              <c:strCache/>
            </c:strRef>
          </c:cat>
          <c:val>
            <c:numRef>
              <c:f>'червень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84275"/>
          <c:w val="0.933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7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2020'!$AM$20:$AM$27</c:f>
              <c:strCache/>
            </c:strRef>
          </c:cat>
          <c:val>
            <c:numRef>
              <c:f>'червень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79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5975"/>
          <c:w val="0.7205"/>
          <c:h val="0.773"/>
        </c:manualLayout>
      </c:layout>
      <c:lineChart>
        <c:grouping val="standard"/>
        <c:varyColors val="0"/>
        <c:ser>
          <c:idx val="1"/>
          <c:order val="0"/>
          <c:tx>
            <c:strRef>
              <c:f>'червень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'червень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'червень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'червень 2020'!$D$8:$AH$8</c:f>
              <c:numCache/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00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93825"/>
          <c:w val="0.852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2020'!$B$9:$B$16</c:f>
              <c:strCache/>
            </c:strRef>
          </c:cat>
          <c:val>
            <c:numRef>
              <c:f>'червень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72"/>
          <c:w val="0.301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77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7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2020'!$B$88:$B$94</c:f>
              <c:strCache/>
            </c:strRef>
          </c:cat>
          <c:val>
            <c:numRef>
              <c:f>'липень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25"/>
          <c:y val="0.84275"/>
          <c:w val="0.93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5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2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'липень 2020'!$AM$20:$AM$27</c:f>
              <c:strCache/>
            </c:strRef>
          </c:cat>
          <c:val>
            <c:numRef>
              <c:f>'липень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79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17275"/>
          <c:w val="0.7195"/>
          <c:h val="0.76"/>
        </c:manualLayout>
      </c:layout>
      <c:lineChart>
        <c:grouping val="standard"/>
        <c:varyColors val="0"/>
        <c:ser>
          <c:idx val="1"/>
          <c:order val="0"/>
          <c:tx>
            <c:strRef>
              <c:f>'липень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'липень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'липень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'липень 2020'!$D$8:$AH$8</c:f>
              <c:numCache/>
            </c:numRef>
          </c:val>
          <c:smooth val="0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77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93825"/>
          <c:w val="0.852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1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'липень 2020'!$B$9:$B$16</c:f>
              <c:strCache/>
            </c:strRef>
          </c:cat>
          <c:val>
            <c:numRef>
              <c:f>'липень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72"/>
          <c:w val="0.301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4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24025"/>
          <c:w val="0.377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2020'!$B$88:$B$94</c:f>
              <c:strCache/>
            </c:strRef>
          </c:cat>
          <c:val>
            <c:numRef>
              <c:f>'серпень 2020'!$AJ$88:$AJ$94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5"/>
          <c:y val="0.84275"/>
          <c:w val="0.932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379"/>
          <c:w val="0.7655"/>
          <c:h val="0.578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99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8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2020'!$AM$20:$AM$27</c:f>
              <c:strCache/>
            </c:strRef>
          </c:cat>
          <c:val>
            <c:numRef>
              <c:f>'серпень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775"/>
          <c:w val="0.980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"/>
          <c:y val="0.20375"/>
          <c:w val="0.7212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'серпень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'серпень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'серпень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'серпень 2020'!$D$8:$AH$8</c:f>
              <c:numCache/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44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93825"/>
          <c:w val="0.852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9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5"/>
          <c:w val="0.373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'серпень 2020'!$B$9:$B$16</c:f>
              <c:strCache/>
            </c:strRef>
          </c:cat>
          <c:val>
            <c:numRef>
              <c:f>'серпень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735"/>
          <c:w val="0.300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75"/>
          <c:y val="0.78375"/>
          <c:w val="0.930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5"/>
          <c:y val="0.7715"/>
          <c:w val="0.98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6075"/>
          <c:w val="0.72825"/>
          <c:h val="0.397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41952005"/>
        <c:axId val="42023726"/>
      </c:line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52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0875"/>
          <c:w val="0.320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27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2574250"/>
        <a:ext cx="134683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247650</xdr:colOff>
      <xdr:row>96</xdr:row>
      <xdr:rowOff>66675</xdr:rowOff>
    </xdr:from>
    <xdr:to>
      <xdr:col>41</xdr:col>
      <xdr:colOff>581025</xdr:colOff>
      <xdr:row>129</xdr:row>
      <xdr:rowOff>57150</xdr:rowOff>
    </xdr:to>
    <xdr:graphicFrame>
      <xdr:nvGraphicFramePr>
        <xdr:cNvPr id="2" name="Диаграмма 4"/>
        <xdr:cNvGraphicFramePr/>
      </xdr:nvGraphicFramePr>
      <xdr:xfrm>
        <a:off x="13992225" y="22593300"/>
        <a:ext cx="10067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279850"/>
        <a:ext cx="135064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935075" y="29260800"/>
        <a:ext cx="10125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098125"/>
        <a:ext cx="13573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96</xdr:row>
      <xdr:rowOff>47625</xdr:rowOff>
    </xdr:from>
    <xdr:to>
      <xdr:col>42</xdr:col>
      <xdr:colOff>28575</xdr:colOff>
      <xdr:row>129</xdr:row>
      <xdr:rowOff>38100</xdr:rowOff>
    </xdr:to>
    <xdr:graphicFrame>
      <xdr:nvGraphicFramePr>
        <xdr:cNvPr id="2" name="Диаграмма 4"/>
        <xdr:cNvGraphicFramePr/>
      </xdr:nvGraphicFramePr>
      <xdr:xfrm>
        <a:off x="14182725" y="23098125"/>
        <a:ext cx="97631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9803725"/>
        <a:ext cx="13611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131</xdr:row>
      <xdr:rowOff>38100</xdr:rowOff>
    </xdr:from>
    <xdr:to>
      <xdr:col>41</xdr:col>
      <xdr:colOff>628650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4087475" y="29784675"/>
        <a:ext cx="9829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1678900"/>
        <a:ext cx="131730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649325" y="21697950"/>
        <a:ext cx="976312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394025"/>
        <a:ext cx="132111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687425" y="28374975"/>
        <a:ext cx="98012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97</xdr:row>
      <xdr:rowOff>47625</xdr:rowOff>
    </xdr:from>
    <xdr:to>
      <xdr:col>25</xdr:col>
      <xdr:colOff>104775</xdr:colOff>
      <xdr:row>130</xdr:row>
      <xdr:rowOff>9525</xdr:rowOff>
    </xdr:to>
    <xdr:graphicFrame>
      <xdr:nvGraphicFramePr>
        <xdr:cNvPr id="1" name="Диаграмма 1"/>
        <xdr:cNvGraphicFramePr/>
      </xdr:nvGraphicFramePr>
      <xdr:xfrm>
        <a:off x="381000" y="21336000"/>
        <a:ext cx="13230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142875</xdr:rowOff>
    </xdr:to>
    <xdr:graphicFrame>
      <xdr:nvGraphicFramePr>
        <xdr:cNvPr id="2" name="Диаграмма 4"/>
        <xdr:cNvGraphicFramePr/>
      </xdr:nvGraphicFramePr>
      <xdr:xfrm>
        <a:off x="13706475" y="21355050"/>
        <a:ext cx="9886950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051125"/>
        <a:ext cx="132683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238125</xdr:colOff>
      <xdr:row>132</xdr:row>
      <xdr:rowOff>38100</xdr:rowOff>
    </xdr:from>
    <xdr:to>
      <xdr:col>41</xdr:col>
      <xdr:colOff>628650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744575" y="28032075"/>
        <a:ext cx="99250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96</xdr:row>
      <xdr:rowOff>200025</xdr:rowOff>
    </xdr:from>
    <xdr:to>
      <xdr:col>25</xdr:col>
      <xdr:colOff>123825</xdr:colOff>
      <xdr:row>129</xdr:row>
      <xdr:rowOff>152400</xdr:rowOff>
    </xdr:to>
    <xdr:graphicFrame>
      <xdr:nvGraphicFramePr>
        <xdr:cNvPr id="1" name="Диаграмма 1"/>
        <xdr:cNvGraphicFramePr/>
      </xdr:nvGraphicFramePr>
      <xdr:xfrm>
        <a:off x="400050" y="21288375"/>
        <a:ext cx="129730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200025</xdr:colOff>
      <xdr:row>97</xdr:row>
      <xdr:rowOff>66675</xdr:rowOff>
    </xdr:from>
    <xdr:to>
      <xdr:col>41</xdr:col>
      <xdr:colOff>552450</xdr:colOff>
      <xdr:row>129</xdr:row>
      <xdr:rowOff>152400</xdr:rowOff>
    </xdr:to>
    <xdr:graphicFrame>
      <xdr:nvGraphicFramePr>
        <xdr:cNvPr id="2" name="Диаграмма 4"/>
        <xdr:cNvGraphicFramePr/>
      </xdr:nvGraphicFramePr>
      <xdr:xfrm>
        <a:off x="13449300" y="21355050"/>
        <a:ext cx="9334500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132</xdr:row>
      <xdr:rowOff>57150</xdr:rowOff>
    </xdr:from>
    <xdr:to>
      <xdr:col>25</xdr:col>
      <xdr:colOff>85725</xdr:colOff>
      <xdr:row>165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041600"/>
        <a:ext cx="130111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132</xdr:row>
      <xdr:rowOff>38100</xdr:rowOff>
    </xdr:from>
    <xdr:to>
      <xdr:col>42</xdr:col>
      <xdr:colOff>38100</xdr:colOff>
      <xdr:row>165</xdr:row>
      <xdr:rowOff>142875</xdr:rowOff>
    </xdr:to>
    <xdr:graphicFrame>
      <xdr:nvGraphicFramePr>
        <xdr:cNvPr id="4" name="Диаграмма 1"/>
        <xdr:cNvGraphicFramePr/>
      </xdr:nvGraphicFramePr>
      <xdr:xfrm>
        <a:off x="13525500" y="28022550"/>
        <a:ext cx="93726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2" ySplit="5" topLeftCell="D5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87" t="s">
        <v>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2" ySplit="5" topLeftCell="D14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87" t="s">
        <v>69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2" ySplit="5" topLeftCell="D7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F167" sqref="AF167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87" t="s">
        <v>72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>
        <f t="shared" si="30"/>
        <v>0</v>
      </c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>
        <f t="shared" si="30"/>
        <v>0</v>
      </c>
      <c r="K94" s="62">
        <f t="shared" si="30"/>
        <v>0</v>
      </c>
      <c r="L94" s="62">
        <f t="shared" si="30"/>
        <v>0</v>
      </c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>
        <f t="shared" si="30"/>
        <v>0</v>
      </c>
      <c r="R94" s="62">
        <f t="shared" si="30"/>
        <v>0</v>
      </c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>
        <f t="shared" si="30"/>
        <v>0</v>
      </c>
      <c r="Y94" s="62">
        <f t="shared" si="30"/>
        <v>0</v>
      </c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>
        <f t="shared" si="30"/>
        <v>0</v>
      </c>
      <c r="AF94" s="62">
        <f t="shared" si="30"/>
        <v>0</v>
      </c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3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75" zoomScaleNormal="75" zoomScaleSheetLayoutView="70" zoomScalePageLayoutView="0" workbookViewId="0" topLeftCell="B1">
      <pane xSplit="2" ySplit="5" topLeftCell="E5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95" sqref="D95:AJ9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10" width="8.7109375" style="5" customWidth="1"/>
    <col min="11" max="11" width="9.851562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140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75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4233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2116.5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16003.299999999997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1794</v>
      </c>
      <c r="G8" s="25">
        <f t="shared" si="0"/>
        <v>0</v>
      </c>
      <c r="H8" s="25">
        <f t="shared" si="0"/>
        <v>0</v>
      </c>
      <c r="I8" s="25">
        <f t="shared" si="0"/>
        <v>1207.5</v>
      </c>
      <c r="J8" s="25">
        <f t="shared" si="0"/>
        <v>1145.6</v>
      </c>
      <c r="K8" s="25">
        <f t="shared" si="0"/>
        <v>312.6</v>
      </c>
      <c r="L8" s="25">
        <f t="shared" si="0"/>
        <v>255</v>
      </c>
      <c r="M8" s="25">
        <f t="shared" si="0"/>
        <v>519.5000000000001</v>
      </c>
      <c r="N8" s="25">
        <f t="shared" si="0"/>
        <v>0</v>
      </c>
      <c r="O8" s="25">
        <f t="shared" si="0"/>
        <v>0</v>
      </c>
      <c r="P8" s="25">
        <f t="shared" si="0"/>
        <v>673.5</v>
      </c>
      <c r="Q8" s="25">
        <f t="shared" si="0"/>
        <v>388.00000000000006</v>
      </c>
      <c r="R8" s="25">
        <f t="shared" si="0"/>
        <v>879.9999999999999</v>
      </c>
      <c r="S8" s="25">
        <f t="shared" si="0"/>
        <v>562.1</v>
      </c>
      <c r="T8" s="25">
        <f t="shared" si="0"/>
        <v>1201.9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588.8000000000001</v>
      </c>
      <c r="Y8" s="25">
        <f t="shared" si="0"/>
        <v>1406.5</v>
      </c>
      <c r="Z8" s="25">
        <f t="shared" si="0"/>
        <v>559.3</v>
      </c>
      <c r="AA8" s="25">
        <f t="shared" si="0"/>
        <v>423.09999999999997</v>
      </c>
      <c r="AB8" s="25">
        <f t="shared" si="0"/>
        <v>0</v>
      </c>
      <c r="AC8" s="25">
        <f t="shared" si="0"/>
        <v>0</v>
      </c>
      <c r="AD8" s="25">
        <f t="shared" si="0"/>
        <v>1099.4</v>
      </c>
      <c r="AE8" s="25">
        <f t="shared" si="0"/>
        <v>827.8000000000001</v>
      </c>
      <c r="AF8" s="25">
        <f t="shared" si="0"/>
        <v>1131.3999999999999</v>
      </c>
      <c r="AG8" s="25">
        <f t="shared" si="0"/>
        <v>526.1000000000001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9660.5</v>
      </c>
      <c r="D9" s="28">
        <v>49.2</v>
      </c>
      <c r="E9" s="29">
        <v>129</v>
      </c>
      <c r="F9" s="22">
        <v>1369.1</v>
      </c>
      <c r="G9" s="22"/>
      <c r="H9" s="22"/>
      <c r="I9" s="22">
        <v>1062.4</v>
      </c>
      <c r="J9" s="22">
        <v>912.5</v>
      </c>
      <c r="K9" s="22">
        <v>77</v>
      </c>
      <c r="L9" s="22">
        <v>112.6</v>
      </c>
      <c r="M9" s="22">
        <v>339.3</v>
      </c>
      <c r="N9" s="22"/>
      <c r="O9" s="22"/>
      <c r="P9" s="22">
        <v>437.9</v>
      </c>
      <c r="Q9" s="22">
        <v>185.7</v>
      </c>
      <c r="R9" s="22">
        <v>565</v>
      </c>
      <c r="S9" s="22">
        <v>285.1</v>
      </c>
      <c r="T9" s="22">
        <v>749.7</v>
      </c>
      <c r="U9" s="22"/>
      <c r="V9" s="22"/>
      <c r="W9" s="22"/>
      <c r="X9" s="22">
        <v>293.2</v>
      </c>
      <c r="Y9" s="22">
        <v>750.7</v>
      </c>
      <c r="Z9" s="30">
        <v>285.8</v>
      </c>
      <c r="AA9" s="30">
        <v>244.1</v>
      </c>
      <c r="AB9" s="22"/>
      <c r="AC9" s="30"/>
      <c r="AD9" s="22">
        <v>414</v>
      </c>
      <c r="AE9" s="22">
        <v>511.5</v>
      </c>
      <c r="AF9" s="22">
        <v>568</v>
      </c>
      <c r="AG9" s="22">
        <v>318.7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1293.6999999999998</v>
      </c>
      <c r="D11" s="28">
        <v>32.8</v>
      </c>
      <c r="E11" s="29">
        <v>49</v>
      </c>
      <c r="F11" s="22">
        <v>27.7</v>
      </c>
      <c r="G11" s="22"/>
      <c r="H11" s="22"/>
      <c r="I11" s="22">
        <v>47</v>
      </c>
      <c r="J11" s="22">
        <v>28.3</v>
      </c>
      <c r="K11" s="22">
        <v>40.3</v>
      </c>
      <c r="L11" s="22">
        <v>36.2</v>
      </c>
      <c r="M11" s="22">
        <v>36.5</v>
      </c>
      <c r="N11" s="22"/>
      <c r="O11" s="22"/>
      <c r="P11" s="22">
        <v>63.3</v>
      </c>
      <c r="Q11" s="22">
        <v>42.5</v>
      </c>
      <c r="R11" s="22">
        <v>67.6</v>
      </c>
      <c r="S11" s="22">
        <v>33.5</v>
      </c>
      <c r="T11" s="22">
        <v>60.2</v>
      </c>
      <c r="U11" s="22"/>
      <c r="V11" s="22"/>
      <c r="W11" s="22"/>
      <c r="X11" s="22">
        <v>83.4</v>
      </c>
      <c r="Y11" s="22">
        <v>47.4</v>
      </c>
      <c r="Z11" s="30">
        <v>49.9</v>
      </c>
      <c r="AA11" s="30">
        <v>63.3</v>
      </c>
      <c r="AB11" s="22"/>
      <c r="AC11" s="30"/>
      <c r="AD11" s="22">
        <v>192.9</v>
      </c>
      <c r="AE11" s="22">
        <v>50.6</v>
      </c>
      <c r="AF11" s="22">
        <v>141.2</v>
      </c>
      <c r="AG11" s="22">
        <v>100.1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1717.6</v>
      </c>
      <c r="D12" s="28">
        <v>3.3</v>
      </c>
      <c r="E12" s="29"/>
      <c r="F12" s="22">
        <v>2.6</v>
      </c>
      <c r="G12" s="22"/>
      <c r="H12" s="22"/>
      <c r="I12" s="22">
        <v>2.1</v>
      </c>
      <c r="J12" s="22">
        <v>13.1</v>
      </c>
      <c r="K12" s="22">
        <v>99.3</v>
      </c>
      <c r="L12" s="22"/>
      <c r="M12" s="22">
        <v>3.7</v>
      </c>
      <c r="N12" s="22"/>
      <c r="O12" s="22"/>
      <c r="P12" s="22">
        <v>35.1</v>
      </c>
      <c r="Q12" s="22">
        <v>16.6</v>
      </c>
      <c r="R12" s="22">
        <v>18.3</v>
      </c>
      <c r="S12" s="22">
        <v>28.9</v>
      </c>
      <c r="T12" s="22">
        <v>36.2</v>
      </c>
      <c r="U12" s="22"/>
      <c r="V12" s="22"/>
      <c r="W12" s="22"/>
      <c r="X12" s="22">
        <v>44.4</v>
      </c>
      <c r="Y12" s="22">
        <v>565.1</v>
      </c>
      <c r="Z12" s="30">
        <v>113.8</v>
      </c>
      <c r="AA12" s="30">
        <v>55.9</v>
      </c>
      <c r="AB12" s="22"/>
      <c r="AC12" s="30"/>
      <c r="AD12" s="22">
        <v>378.3</v>
      </c>
      <c r="AE12" s="22">
        <v>189.6</v>
      </c>
      <c r="AF12" s="22">
        <v>97.5</v>
      </c>
      <c r="AG12" s="22">
        <v>13.8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589.1</v>
      </c>
      <c r="D13" s="28">
        <v>5.3</v>
      </c>
      <c r="E13" s="29">
        <v>5.9</v>
      </c>
      <c r="F13" s="22">
        <v>340</v>
      </c>
      <c r="G13" s="22"/>
      <c r="H13" s="22"/>
      <c r="I13" s="22">
        <v>3.5</v>
      </c>
      <c r="J13" s="22">
        <v>2.7</v>
      </c>
      <c r="K13" s="22">
        <v>29.4</v>
      </c>
      <c r="L13" s="22">
        <v>2.5</v>
      </c>
      <c r="M13" s="22">
        <v>29.3</v>
      </c>
      <c r="N13" s="22"/>
      <c r="O13" s="22"/>
      <c r="P13" s="22">
        <v>1.6</v>
      </c>
      <c r="Q13" s="22">
        <v>3.3</v>
      </c>
      <c r="R13" s="22">
        <v>14.8</v>
      </c>
      <c r="S13" s="22">
        <v>1.3</v>
      </c>
      <c r="T13" s="22">
        <v>21.1</v>
      </c>
      <c r="U13" s="22"/>
      <c r="V13" s="22"/>
      <c r="W13" s="22"/>
      <c r="X13" s="22">
        <v>14</v>
      </c>
      <c r="Y13" s="22">
        <v>12.1</v>
      </c>
      <c r="Z13" s="30">
        <v>14.4</v>
      </c>
      <c r="AA13" s="30">
        <v>21.2</v>
      </c>
      <c r="AB13" s="22"/>
      <c r="AC13" s="22"/>
      <c r="AD13" s="22">
        <v>30.3</v>
      </c>
      <c r="AE13" s="22">
        <v>12.9</v>
      </c>
      <c r="AF13" s="22">
        <v>10.9</v>
      </c>
      <c r="AG13" s="22">
        <v>12.6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2385.3</v>
      </c>
      <c r="D14" s="28">
        <v>75.8</v>
      </c>
      <c r="E14" s="29">
        <v>55.1</v>
      </c>
      <c r="F14" s="22">
        <v>45.4</v>
      </c>
      <c r="G14" s="22"/>
      <c r="H14" s="22"/>
      <c r="I14" s="22">
        <v>88.7</v>
      </c>
      <c r="J14" s="22">
        <v>186.5</v>
      </c>
      <c r="K14" s="22">
        <v>66.1</v>
      </c>
      <c r="L14" s="22">
        <v>99.1</v>
      </c>
      <c r="M14" s="22">
        <v>94.4</v>
      </c>
      <c r="N14" s="22"/>
      <c r="O14" s="22"/>
      <c r="P14" s="22">
        <v>120.5</v>
      </c>
      <c r="Q14" s="22">
        <v>121.7</v>
      </c>
      <c r="R14" s="22">
        <v>208.5</v>
      </c>
      <c r="S14" s="22">
        <v>207.1</v>
      </c>
      <c r="T14" s="22">
        <v>325.4</v>
      </c>
      <c r="U14" s="22"/>
      <c r="V14" s="22"/>
      <c r="W14" s="22"/>
      <c r="X14" s="22">
        <v>150.7</v>
      </c>
      <c r="Y14" s="22">
        <v>23.6</v>
      </c>
      <c r="Z14" s="30">
        <v>59.4</v>
      </c>
      <c r="AA14" s="30">
        <v>35.1</v>
      </c>
      <c r="AB14" s="22"/>
      <c r="AC14" s="30"/>
      <c r="AD14" s="22">
        <v>74.9</v>
      </c>
      <c r="AE14" s="22">
        <v>52.1</v>
      </c>
      <c r="AF14" s="22">
        <v>225.2</v>
      </c>
      <c r="AG14" s="22">
        <v>70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24.8</v>
      </c>
      <c r="D15" s="28">
        <v>1.1</v>
      </c>
      <c r="E15" s="29">
        <v>0.8</v>
      </c>
      <c r="F15" s="22">
        <v>1.4</v>
      </c>
      <c r="G15" s="22"/>
      <c r="H15" s="22"/>
      <c r="I15" s="22">
        <v>0.7</v>
      </c>
      <c r="J15" s="22">
        <v>0.9</v>
      </c>
      <c r="K15" s="22"/>
      <c r="L15" s="22">
        <v>2.4</v>
      </c>
      <c r="M15" s="22">
        <v>2.6</v>
      </c>
      <c r="N15" s="22"/>
      <c r="O15" s="22"/>
      <c r="P15" s="22">
        <v>0.4</v>
      </c>
      <c r="Q15" s="22">
        <v>0.1</v>
      </c>
      <c r="R15" s="22">
        <v>0.9</v>
      </c>
      <c r="S15" s="22">
        <v>1.1</v>
      </c>
      <c r="T15" s="22">
        <v>0.3</v>
      </c>
      <c r="U15" s="22"/>
      <c r="V15" s="22"/>
      <c r="W15" s="22"/>
      <c r="X15" s="22">
        <v>0.5</v>
      </c>
      <c r="Y15" s="22">
        <v>0.4</v>
      </c>
      <c r="Z15" s="30">
        <v>0.8</v>
      </c>
      <c r="AA15" s="30">
        <v>0.5</v>
      </c>
      <c r="AB15" s="22"/>
      <c r="AC15" s="30"/>
      <c r="AD15" s="22">
        <v>2.9</v>
      </c>
      <c r="AE15" s="22">
        <v>0.5</v>
      </c>
      <c r="AF15" s="22">
        <v>1.8</v>
      </c>
      <c r="AG15" s="22">
        <v>4.7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332.29999999999995</v>
      </c>
      <c r="D16" s="28">
        <v>83.6</v>
      </c>
      <c r="E16" s="29">
        <v>10.3</v>
      </c>
      <c r="F16" s="22">
        <v>7.8</v>
      </c>
      <c r="G16" s="22"/>
      <c r="H16" s="22"/>
      <c r="I16" s="22">
        <v>3.1</v>
      </c>
      <c r="J16" s="22">
        <v>1.6</v>
      </c>
      <c r="K16" s="22">
        <v>0.5</v>
      </c>
      <c r="L16" s="22">
        <v>2.2</v>
      </c>
      <c r="M16" s="22">
        <v>13.7</v>
      </c>
      <c r="N16" s="22"/>
      <c r="O16" s="22"/>
      <c r="P16" s="22">
        <v>14.7</v>
      </c>
      <c r="Q16" s="22">
        <v>18.1</v>
      </c>
      <c r="R16" s="22">
        <v>4.9</v>
      </c>
      <c r="S16" s="22">
        <v>5.1</v>
      </c>
      <c r="T16" s="22">
        <v>9</v>
      </c>
      <c r="U16" s="22"/>
      <c r="V16" s="22"/>
      <c r="W16" s="22"/>
      <c r="X16" s="22">
        <v>2.6</v>
      </c>
      <c r="Y16" s="22">
        <v>7.2</v>
      </c>
      <c r="Z16" s="30">
        <v>35.2</v>
      </c>
      <c r="AA16" s="30">
        <v>3</v>
      </c>
      <c r="AB16" s="22"/>
      <c r="AC16" s="30"/>
      <c r="AD16" s="22">
        <v>6.1</v>
      </c>
      <c r="AE16" s="22">
        <v>10.6</v>
      </c>
      <c r="AF16" s="22">
        <v>86.8</v>
      </c>
      <c r="AG16" s="22">
        <v>6.2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19029.8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1794</v>
      </c>
      <c r="G17" s="38">
        <f t="shared" si="2"/>
        <v>0</v>
      </c>
      <c r="H17" s="38">
        <f t="shared" si="2"/>
        <v>0</v>
      </c>
      <c r="I17" s="38">
        <v>1</v>
      </c>
      <c r="J17" s="38">
        <f t="shared" si="2"/>
        <v>1145.6</v>
      </c>
      <c r="K17" s="38">
        <f t="shared" si="2"/>
        <v>312.6</v>
      </c>
      <c r="L17" s="38">
        <f t="shared" si="2"/>
        <v>255</v>
      </c>
      <c r="M17" s="38">
        <f t="shared" si="2"/>
        <v>519.5000000000001</v>
      </c>
      <c r="N17" s="38">
        <f t="shared" si="2"/>
        <v>0</v>
      </c>
      <c r="O17" s="38">
        <f t="shared" si="2"/>
        <v>0</v>
      </c>
      <c r="P17" s="38">
        <f t="shared" si="2"/>
        <v>2790</v>
      </c>
      <c r="Q17" s="38">
        <f t="shared" si="2"/>
        <v>388.00000000000006</v>
      </c>
      <c r="R17" s="38">
        <f t="shared" si="2"/>
        <v>879.9999999999999</v>
      </c>
      <c r="S17" s="38">
        <f t="shared" si="2"/>
        <v>562.1</v>
      </c>
      <c r="T17" s="38">
        <f t="shared" si="2"/>
        <v>1201.9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588.8000000000001</v>
      </c>
      <c r="Y17" s="38">
        <f t="shared" si="2"/>
        <v>1406.5</v>
      </c>
      <c r="Z17" s="38">
        <f t="shared" si="2"/>
        <v>559.3</v>
      </c>
      <c r="AA17" s="38">
        <f t="shared" si="2"/>
        <v>423.09999999999997</v>
      </c>
      <c r="AB17" s="38">
        <f t="shared" si="2"/>
        <v>0</v>
      </c>
      <c r="AC17" s="38">
        <f t="shared" si="2"/>
        <v>0</v>
      </c>
      <c r="AD17" s="38">
        <f t="shared" si="2"/>
        <v>1099.4</v>
      </c>
      <c r="AE17" s="38">
        <f t="shared" si="2"/>
        <v>827.8000000000001</v>
      </c>
      <c r="AF17" s="38">
        <f t="shared" si="2"/>
        <v>1131.3999999999999</v>
      </c>
      <c r="AG17" s="38">
        <f t="shared" si="2"/>
        <v>526.1000000000001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302.179</v>
      </c>
      <c r="K18" s="40">
        <f t="shared" si="3"/>
        <v>1144.105</v>
      </c>
      <c r="L18" s="40">
        <f t="shared" si="3"/>
        <v>0</v>
      </c>
      <c r="M18" s="40">
        <f t="shared" si="3"/>
        <v>5326.775000000001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1406.6999999999998</v>
      </c>
      <c r="R18" s="40">
        <f t="shared" si="3"/>
        <v>2485.9</v>
      </c>
      <c r="S18" s="40">
        <f t="shared" si="3"/>
        <v>0</v>
      </c>
      <c r="T18" s="40">
        <f t="shared" si="3"/>
        <v>83.95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203.70000000000002</v>
      </c>
      <c r="Y18" s="40">
        <f t="shared" si="3"/>
        <v>1540.3</v>
      </c>
      <c r="Z18" s="40">
        <f t="shared" si="3"/>
        <v>0</v>
      </c>
      <c r="AA18" s="40">
        <f t="shared" si="3"/>
        <v>5141.708999999999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1937.4470000000003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23332.348999999995</v>
      </c>
      <c r="AK18" s="41">
        <f aca="true" t="shared" si="4" ref="AK18:AK81">AJ18-C18</f>
        <v>-14206.623000000007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5.036</v>
      </c>
      <c r="K19" s="43">
        <f t="shared" si="5"/>
        <v>27.818</v>
      </c>
      <c r="L19" s="43">
        <f t="shared" si="5"/>
        <v>0</v>
      </c>
      <c r="M19" s="43">
        <f t="shared" si="5"/>
        <v>1084.2859999999998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42.6</v>
      </c>
      <c r="S19" s="43">
        <f t="shared" si="5"/>
        <v>0</v>
      </c>
      <c r="T19" s="43">
        <f t="shared" si="5"/>
        <v>0.05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64.5</v>
      </c>
      <c r="Z19" s="43">
        <f t="shared" si="5"/>
        <v>0</v>
      </c>
      <c r="AA19" s="43">
        <f t="shared" si="5"/>
        <v>365.248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1451.8290000000002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3461.608</v>
      </c>
      <c r="AK19" s="41">
        <f t="shared" si="4"/>
        <v>-2120.401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>
        <v>23.326</v>
      </c>
      <c r="L20" s="17"/>
      <c r="M20" s="22">
        <v>1067.176</v>
      </c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55.5</v>
      </c>
      <c r="Z20" s="17"/>
      <c r="AA20" s="17">
        <f>343.804</f>
        <v>343.804</v>
      </c>
      <c r="AB20" s="17"/>
      <c r="AC20" s="17"/>
      <c r="AD20" s="22"/>
      <c r="AE20" s="22">
        <v>1443.689</v>
      </c>
      <c r="AF20" s="22"/>
      <c r="AG20" s="22"/>
      <c r="AH20" s="17"/>
      <c r="AI20" s="17"/>
      <c r="AJ20" s="17">
        <f>SUM(D20:AI20)</f>
        <v>3328.8370000000004</v>
      </c>
      <c r="AK20" s="41">
        <f t="shared" si="4"/>
        <v>201.49600000000055</v>
      </c>
      <c r="AL20" s="7"/>
      <c r="AM20" s="66" t="s">
        <v>21</v>
      </c>
      <c r="AN20" s="67">
        <f>AJ19</f>
        <v>3461.608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>
        <v>4.299</v>
      </c>
      <c r="L21" s="17"/>
      <c r="M21" s="22">
        <v>7.042</v>
      </c>
      <c r="N21" s="22"/>
      <c r="O21" s="17"/>
      <c r="P21" s="17"/>
      <c r="Q21" s="17"/>
      <c r="R21" s="17">
        <v>28.3</v>
      </c>
      <c r="S21" s="17"/>
      <c r="T21" s="17">
        <v>0.05</v>
      </c>
      <c r="U21" s="17"/>
      <c r="V21" s="17"/>
      <c r="W21" s="17"/>
      <c r="X21" s="17"/>
      <c r="Y21" s="17">
        <v>1</v>
      </c>
      <c r="Z21" s="17"/>
      <c r="AA21" s="17">
        <v>13.774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71.566</v>
      </c>
      <c r="AK21" s="41">
        <f t="shared" si="4"/>
        <v>-325.102</v>
      </c>
      <c r="AL21" s="7"/>
      <c r="AM21" s="66" t="s">
        <v>23</v>
      </c>
      <c r="AN21" s="67">
        <f>AJ23</f>
        <v>9463.717999999999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>
        <v>5.036</v>
      </c>
      <c r="K22" s="17">
        <v>0.193</v>
      </c>
      <c r="L22" s="17"/>
      <c r="M22" s="17">
        <v>10.068</v>
      </c>
      <c r="N22" s="17"/>
      <c r="O22" s="17"/>
      <c r="P22" s="17"/>
      <c r="Q22" s="17"/>
      <c r="R22" s="17">
        <v>14.3</v>
      </c>
      <c r="S22" s="17"/>
      <c r="T22" s="17"/>
      <c r="U22" s="17"/>
      <c r="V22" s="17"/>
      <c r="W22" s="17"/>
      <c r="X22" s="17"/>
      <c r="Y22" s="17">
        <v>8</v>
      </c>
      <c r="Z22" s="17"/>
      <c r="AA22" s="17">
        <v>7.67</v>
      </c>
      <c r="AB22" s="17"/>
      <c r="AC22" s="17"/>
      <c r="AD22" s="17"/>
      <c r="AE22" s="17">
        <v>8.14</v>
      </c>
      <c r="AF22" s="17"/>
      <c r="AG22" s="17"/>
      <c r="AH22" s="17"/>
      <c r="AI22" s="17"/>
      <c r="AJ22" s="17">
        <f>SUM(D22:AI22)</f>
        <v>61.205</v>
      </c>
      <c r="AK22" s="41">
        <f t="shared" si="4"/>
        <v>-1996.795</v>
      </c>
      <c r="AL22" s="7"/>
      <c r="AM22" s="66" t="s">
        <v>25</v>
      </c>
      <c r="AN22" s="67">
        <f>$AJ$29+$AJ$31</f>
        <v>185.99599999999998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109.008</v>
      </c>
      <c r="K23" s="43">
        <f t="shared" si="6"/>
        <v>244.729</v>
      </c>
      <c r="L23" s="43">
        <f t="shared" si="6"/>
        <v>0</v>
      </c>
      <c r="M23" s="43">
        <f t="shared" si="6"/>
        <v>3037.268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791.8</v>
      </c>
      <c r="R23" s="43">
        <f t="shared" si="6"/>
        <v>418.29999999999995</v>
      </c>
      <c r="S23" s="43">
        <f t="shared" si="6"/>
        <v>0</v>
      </c>
      <c r="T23" s="43">
        <f t="shared" si="6"/>
        <v>52.1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427</v>
      </c>
      <c r="Z23" s="43">
        <f t="shared" si="6"/>
        <v>0</v>
      </c>
      <c r="AA23" s="43">
        <f t="shared" si="6"/>
        <v>4277.986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-171.578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9463.717999999999</v>
      </c>
      <c r="AK23" s="41">
        <f t="shared" si="4"/>
        <v>-9942.965000000002</v>
      </c>
      <c r="AL23" s="2"/>
      <c r="AM23" s="66" t="s">
        <v>26</v>
      </c>
      <c r="AN23" s="67">
        <f>$AJ$32+$AJ$33+$AJ$36+$AJ$41+$AJ$45+$AJ$35+$AJ$34</f>
        <v>1212.3039999999999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>
        <f>21.778+21.778</f>
        <v>43.556</v>
      </c>
      <c r="K24" s="17">
        <v>220.099</v>
      </c>
      <c r="L24" s="17"/>
      <c r="M24" s="17">
        <f>1448.547+1106.154+33.81</f>
        <v>2588.511</v>
      </c>
      <c r="N24" s="22"/>
      <c r="O24" s="17"/>
      <c r="P24" s="17"/>
      <c r="Q24" s="17">
        <v>350.7</v>
      </c>
      <c r="R24" s="17">
        <v>412.4</v>
      </c>
      <c r="S24" s="17"/>
      <c r="T24" s="17">
        <v>35.7</v>
      </c>
      <c r="U24" s="17"/>
      <c r="V24" s="17"/>
      <c r="W24" s="17"/>
      <c r="X24" s="17"/>
      <c r="Y24" s="17">
        <v>426.3</v>
      </c>
      <c r="Z24" s="17"/>
      <c r="AA24" s="17">
        <f>2104.24+2177.2</f>
        <v>4281.44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8412.284</v>
      </c>
      <c r="AK24" s="41">
        <f t="shared" si="4"/>
        <v>-3084.3279999999995</v>
      </c>
      <c r="AL24" s="7"/>
      <c r="AM24" s="66" t="s">
        <v>27</v>
      </c>
      <c r="AN24" s="67">
        <f>$AJ$66+$AJ$69+$AJ$76+$AJ$62+$AJ$64</f>
        <v>2346.307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601.221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413.548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>
        <v>50.19</v>
      </c>
      <c r="K27" s="17">
        <v>23.693</v>
      </c>
      <c r="L27" s="17"/>
      <c r="M27" s="17">
        <v>415.057</v>
      </c>
      <c r="N27" s="22"/>
      <c r="O27" s="17"/>
      <c r="P27" s="17"/>
      <c r="Q27" s="17">
        <v>429.2</v>
      </c>
      <c r="R27" s="17">
        <v>0.7</v>
      </c>
      <c r="S27" s="17"/>
      <c r="T27" s="17">
        <v>15.9</v>
      </c>
      <c r="U27" s="17"/>
      <c r="V27" s="17"/>
      <c r="W27" s="17"/>
      <c r="X27" s="17"/>
      <c r="Y27" s="17">
        <v>0.7</v>
      </c>
      <c r="Z27" s="17"/>
      <c r="AA27" s="17">
        <v>-6.393</v>
      </c>
      <c r="AB27" s="17"/>
      <c r="AC27" s="17"/>
      <c r="AD27" s="22"/>
      <c r="AE27" s="22">
        <v>-0.209</v>
      </c>
      <c r="AF27" s="22"/>
      <c r="AG27" s="22"/>
      <c r="AH27" s="17"/>
      <c r="AI27" s="17"/>
      <c r="AJ27" s="17">
        <f>SUM(D27:AI27)</f>
        <v>978.4650000000001</v>
      </c>
      <c r="AK27" s="41">
        <f t="shared" si="4"/>
        <v>-3684.1059999999998</v>
      </c>
      <c r="AL27" s="7"/>
      <c r="AM27" s="66" t="s">
        <v>32</v>
      </c>
      <c r="AN27" s="67">
        <f>$AJ$49+$AJ$73+$AJ$79+$AJ$80+$AJ$85+$AJ$75+$AJ$77+$AJ$81+$AJ$82+$AJ$84+$AJ$78+$AJ$83</f>
        <v>5647.646999999999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>
        <v>15.262</v>
      </c>
      <c r="K28" s="17">
        <v>0.937</v>
      </c>
      <c r="L28" s="17"/>
      <c r="M28" s="17">
        <v>33.7</v>
      </c>
      <c r="N28" s="17"/>
      <c r="O28" s="17"/>
      <c r="P28" s="17"/>
      <c r="Q28" s="17">
        <v>11.9</v>
      </c>
      <c r="R28" s="17">
        <v>5.2</v>
      </c>
      <c r="S28" s="17"/>
      <c r="T28" s="17">
        <v>0.5</v>
      </c>
      <c r="U28" s="17"/>
      <c r="V28" s="17"/>
      <c r="W28" s="17"/>
      <c r="X28" s="17"/>
      <c r="Y28" s="17"/>
      <c r="Z28" s="17"/>
      <c r="AA28" s="17">
        <v>2.939</v>
      </c>
      <c r="AB28" s="17"/>
      <c r="AC28" s="17"/>
      <c r="AD28" s="17"/>
      <c r="AE28" s="17">
        <v>-171.369</v>
      </c>
      <c r="AF28" s="17"/>
      <c r="AG28" s="17"/>
      <c r="AH28" s="17"/>
      <c r="AI28" s="17"/>
      <c r="AJ28" s="17">
        <f>SUM(D28:AI28)</f>
        <v>72.96900000000002</v>
      </c>
      <c r="AK28" s="41">
        <f t="shared" si="4"/>
        <v>-1681.3709999999999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41.672</v>
      </c>
      <c r="K29" s="43">
        <f t="shared" si="7"/>
        <v>0</v>
      </c>
      <c r="L29" s="43">
        <f t="shared" si="7"/>
        <v>0</v>
      </c>
      <c r="M29" s="43">
        <f t="shared" si="7"/>
        <v>48.616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64.2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185.99599999999998</v>
      </c>
      <c r="AK29" s="41">
        <f t="shared" si="4"/>
        <v>-672.211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>
        <v>41.672</v>
      </c>
      <c r="K30" s="22"/>
      <c r="L30" s="22"/>
      <c r="M30" s="22">
        <v>48.616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>
        <v>64.2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185.99599999999998</v>
      </c>
      <c r="AK30" s="41">
        <f t="shared" si="4"/>
        <v>-672.211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>
        <v>3.7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>
        <v>182.8</v>
      </c>
      <c r="Y32" s="43"/>
      <c r="Z32" s="43"/>
      <c r="AA32" s="43">
        <v>2.771</v>
      </c>
      <c r="AB32" s="43"/>
      <c r="AC32" s="43"/>
      <c r="AD32" s="43"/>
      <c r="AE32" s="43">
        <v>0.7</v>
      </c>
      <c r="AF32" s="43"/>
      <c r="AG32" s="43"/>
      <c r="AH32" s="43"/>
      <c r="AI32" s="43"/>
      <c r="AJ32" s="43">
        <f>SUM(D32:AI32)</f>
        <v>199.498</v>
      </c>
      <c r="AK32" s="41">
        <f t="shared" si="4"/>
        <v>-508.75899999999996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>
        <v>45.201</v>
      </c>
      <c r="AF35" s="43"/>
      <c r="AG35" s="43"/>
      <c r="AH35" s="43"/>
      <c r="AI35" s="43"/>
      <c r="AJ35" s="43">
        <f>SUM(D35:AI35)</f>
        <v>45.201</v>
      </c>
      <c r="AK35" s="41">
        <f t="shared" si="4"/>
        <v>-98.09900000000002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218.503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522.326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768.1089999999999</v>
      </c>
      <c r="AK36" s="41">
        <f t="shared" si="4"/>
        <v>-49.086000000000126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>
        <v>205.756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>
        <v>516.91</v>
      </c>
      <c r="AF37" s="22"/>
      <c r="AG37" s="22"/>
      <c r="AH37" s="17"/>
      <c r="AI37" s="17"/>
      <c r="AJ37" s="17">
        <f>SUM(D37:AI37)</f>
        <v>735.944</v>
      </c>
      <c r="AK37" s="41">
        <f t="shared" si="4"/>
        <v>28.908999999999992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>
        <v>4.432</v>
      </c>
      <c r="AF38" s="22"/>
      <c r="AG38" s="22"/>
      <c r="AH38" s="17"/>
      <c r="AI38" s="17"/>
      <c r="AJ38" s="17">
        <f>SUM(D38:AI38)</f>
        <v>6.232</v>
      </c>
      <c r="AK38" s="41">
        <f t="shared" si="4"/>
        <v>4.417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>
        <v>9.896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>
        <v>0.984</v>
      </c>
      <c r="AF39" s="22"/>
      <c r="AG39" s="22"/>
      <c r="AH39" s="17"/>
      <c r="AI39" s="17"/>
      <c r="AJ39" s="17">
        <f>SUM(D39:AI39)</f>
        <v>19.178000000000004</v>
      </c>
      <c r="AK39" s="41">
        <f t="shared" si="4"/>
        <v>-66.786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>
        <v>1.051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6.755</v>
      </c>
      <c r="AK40" s="41">
        <f t="shared" si="4"/>
        <v>-15.626000000000001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9.247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17.3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68.063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94.61</v>
      </c>
      <c r="AK41" s="41">
        <f t="shared" si="4"/>
        <v>-209.91099999999994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17.3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66.318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83.618</v>
      </c>
      <c r="AK42" s="41">
        <f t="shared" si="4"/>
        <v>-181.10899999999998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>
        <v>8.916</v>
      </c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0.126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9.042</v>
      </c>
      <c r="AK43" s="41">
        <f t="shared" si="4"/>
        <v>-18.456000000000003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>
        <v>0.331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1.619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1.95</v>
      </c>
      <c r="AK44" s="41">
        <f t="shared" si="4"/>
        <v>-10.346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41.982</v>
      </c>
      <c r="L45" s="43">
        <f t="shared" si="10"/>
        <v>0</v>
      </c>
      <c r="M45" s="43">
        <f t="shared" si="10"/>
        <v>6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42.5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104.886</v>
      </c>
      <c r="AK45" s="41">
        <f t="shared" si="4"/>
        <v>-90.305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>
        <v>39.602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42.5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96.506</v>
      </c>
      <c r="AK46" s="41">
        <f t="shared" si="4"/>
        <v>-80.41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>
        <v>2.38</v>
      </c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2.38</v>
      </c>
      <c r="AK47" s="41">
        <f t="shared" si="4"/>
        <v>-6.825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>
        <v>6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6</v>
      </c>
      <c r="AK48" s="41">
        <f t="shared" si="4"/>
        <v>-3.0700000000000003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8.8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11.729000000000001</v>
      </c>
      <c r="AK49" s="41">
        <f t="shared" si="4"/>
        <v>-27.244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>
        <v>8.8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11.729000000000001</v>
      </c>
      <c r="AK50" s="41">
        <f t="shared" si="4"/>
        <v>-1.1129999999999995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312.07800000000003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31.8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127.621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601.221</v>
      </c>
      <c r="AK52" s="41">
        <f t="shared" si="4"/>
        <v>-574.3679999999999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>
        <v>253.374</v>
      </c>
      <c r="N53" s="22"/>
      <c r="O53" s="17"/>
      <c r="P53" s="17"/>
      <c r="Q53" s="17"/>
      <c r="R53" s="17"/>
      <c r="S53" s="17"/>
      <c r="T53" s="17">
        <v>31.7</v>
      </c>
      <c r="U53" s="17"/>
      <c r="V53" s="50"/>
      <c r="W53" s="17"/>
      <c r="X53" s="17"/>
      <c r="Y53" s="17"/>
      <c r="Z53" s="50"/>
      <c r="AA53" s="17">
        <v>127.621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524.356</v>
      </c>
      <c r="AK53" s="41">
        <f t="shared" si="4"/>
        <v>-249.279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>
        <v>56.577</v>
      </c>
      <c r="N54" s="22"/>
      <c r="O54" s="17"/>
      <c r="P54" s="17"/>
      <c r="Q54" s="17"/>
      <c r="R54" s="17"/>
      <c r="S54" s="17"/>
      <c r="T54" s="17">
        <v>0.1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74.738</v>
      </c>
      <c r="AK54" s="41">
        <f t="shared" si="4"/>
        <v>-164.202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>
        <v>2.127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2.127</v>
      </c>
      <c r="AK55" s="41">
        <f t="shared" si="4"/>
        <v>-160.887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14.359</v>
      </c>
      <c r="L56" s="43">
        <f t="shared" si="13"/>
        <v>0</v>
      </c>
      <c r="M56" s="43">
        <f t="shared" si="13"/>
        <v>220.149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7.4</v>
      </c>
      <c r="Z56" s="43">
        <f t="shared" si="13"/>
        <v>0</v>
      </c>
      <c r="AA56" s="43">
        <f t="shared" si="13"/>
        <v>155.256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413.548</v>
      </c>
      <c r="AK56" s="41">
        <f t="shared" si="4"/>
        <v>-496.336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214.554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153.778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368.332</v>
      </c>
      <c r="AK57" s="41">
        <f t="shared" si="4"/>
        <v>-149.851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>
        <v>0.758</v>
      </c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0.758</v>
      </c>
      <c r="AK58" s="41">
        <f t="shared" si="4"/>
        <v>-0.0020000000000000018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>
        <v>5.181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0.22</v>
      </c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21.785</v>
      </c>
      <c r="AK59" s="41">
        <f t="shared" si="4"/>
        <v>-122.19400000000002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>
        <v>14.359</v>
      </c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7.4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21.759</v>
      </c>
      <c r="AK60" s="41">
        <f t="shared" si="4"/>
        <v>-15.802999999999997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0.414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v>0.5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0.9139999999999999</v>
      </c>
      <c r="AK61" s="41">
        <f t="shared" si="4"/>
        <v>-208.48600000000002</v>
      </c>
    </row>
    <row r="62" spans="2:37" ht="43.5">
      <c r="B62" s="42" t="s">
        <v>48</v>
      </c>
      <c r="C62" s="43">
        <f>C63</f>
        <v>600</v>
      </c>
      <c r="D62" s="43">
        <f>D63</f>
        <v>0</v>
      </c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23</v>
      </c>
      <c r="K66" s="43">
        <f t="shared" si="16"/>
        <v>122.99</v>
      </c>
      <c r="L66" s="43">
        <f t="shared" si="16"/>
        <v>0</v>
      </c>
      <c r="M66" s="43">
        <f t="shared" si="16"/>
        <v>72.078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29.5</v>
      </c>
      <c r="R66" s="43">
        <f t="shared" si="16"/>
        <v>657.1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20.9</v>
      </c>
      <c r="Y66" s="43">
        <f t="shared" si="16"/>
        <v>0</v>
      </c>
      <c r="Z66" s="43">
        <f t="shared" si="16"/>
        <v>0</v>
      </c>
      <c r="AA66" s="43">
        <f t="shared" si="16"/>
        <v>49.36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39.969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1737.313</v>
      </c>
      <c r="AK66" s="41">
        <f t="shared" si="4"/>
        <v>-1728.601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>
        <v>23</v>
      </c>
      <c r="K67" s="22"/>
      <c r="L67" s="22"/>
      <c r="M67" s="22">
        <v>72.078</v>
      </c>
      <c r="N67" s="22"/>
      <c r="O67" s="22"/>
      <c r="P67" s="22"/>
      <c r="Q67" s="22">
        <v>29.5</v>
      </c>
      <c r="R67" s="22"/>
      <c r="S67" s="22"/>
      <c r="T67" s="22"/>
      <c r="U67" s="22"/>
      <c r="V67" s="22"/>
      <c r="W67" s="22"/>
      <c r="X67" s="22">
        <v>20.9</v>
      </c>
      <c r="Y67" s="22"/>
      <c r="Z67" s="22"/>
      <c r="AA67" s="22"/>
      <c r="AB67" s="22"/>
      <c r="AC67" s="22"/>
      <c r="AD67" s="22"/>
      <c r="AE67" s="22">
        <v>39.969</v>
      </c>
      <c r="AF67" s="22"/>
      <c r="AG67" s="22"/>
      <c r="AH67" s="22"/>
      <c r="AI67" s="22"/>
      <c r="AJ67" s="22">
        <f>SUM(D67:AI67)</f>
        <v>185.447</v>
      </c>
      <c r="AK67" s="41">
        <f t="shared" si="4"/>
        <v>-266.553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>
        <v>122.99</v>
      </c>
      <c r="L68" s="22"/>
      <c r="M68" s="22"/>
      <c r="N68" s="22"/>
      <c r="O68" s="22"/>
      <c r="P68" s="22"/>
      <c r="Q68" s="22"/>
      <c r="R68" s="22">
        <v>657.1</v>
      </c>
      <c r="S68" s="22"/>
      <c r="T68" s="22"/>
      <c r="U68" s="22"/>
      <c r="V68" s="22"/>
      <c r="W68" s="22"/>
      <c r="X68" s="22"/>
      <c r="Y68" s="22"/>
      <c r="Z68" s="22"/>
      <c r="AA68" s="22">
        <v>49.36</v>
      </c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1551.866</v>
      </c>
      <c r="AK68" s="41">
        <f t="shared" si="4"/>
        <v>-1462.0480000000002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7.686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8.994</v>
      </c>
      <c r="AK69" s="41">
        <f t="shared" si="4"/>
        <v>-9.405000000000001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>
        <v>7.686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7.686</v>
      </c>
      <c r="AK70" s="41">
        <f t="shared" si="4"/>
        <v>-6.790000000000001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>
        <v>65.5</v>
      </c>
      <c r="R78" s="43">
        <v>3.5</v>
      </c>
      <c r="S78" s="43"/>
      <c r="T78" s="43"/>
      <c r="U78" s="43"/>
      <c r="V78" s="43"/>
      <c r="W78" s="43"/>
      <c r="X78" s="43"/>
      <c r="Y78" s="43"/>
      <c r="Z78" s="43"/>
      <c r="AA78" s="43">
        <v>95.404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165.391</v>
      </c>
      <c r="AK78" s="41">
        <f t="shared" si="4"/>
        <v>-112.00899999999999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 hidden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100</v>
      </c>
      <c r="S83" s="43"/>
      <c r="T83" s="43"/>
      <c r="U83" s="43"/>
      <c r="V83" s="43"/>
      <c r="W83" s="43"/>
      <c r="X83" s="43"/>
      <c r="Y83" s="43">
        <v>200</v>
      </c>
      <c r="Z83" s="43"/>
      <c r="AA83" s="43"/>
      <c r="AB83" s="43"/>
      <c r="AC83" s="43"/>
      <c r="AD83" s="43"/>
      <c r="AE83" s="43">
        <v>49</v>
      </c>
      <c r="AF83" s="43"/>
      <c r="AG83" s="43"/>
      <c r="AH83" s="43"/>
      <c r="AI83" s="43"/>
      <c r="AJ83" s="43">
        <f t="shared" si="19"/>
        <v>349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>
        <v>150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>
        <v>123.463</v>
      </c>
      <c r="K85" s="43">
        <v>692.227</v>
      </c>
      <c r="L85" s="43"/>
      <c r="M85" s="43">
        <v>307.164</v>
      </c>
      <c r="N85" s="43"/>
      <c r="O85" s="43"/>
      <c r="P85" s="43"/>
      <c r="Q85" s="43">
        <v>502.6</v>
      </c>
      <c r="R85" s="43">
        <v>1114.4</v>
      </c>
      <c r="S85" s="43"/>
      <c r="T85" s="43"/>
      <c r="U85" s="43"/>
      <c r="V85" s="43"/>
      <c r="W85" s="43"/>
      <c r="X85" s="43"/>
      <c r="Y85" s="43">
        <v>725.9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4971.526999999999</v>
      </c>
      <c r="AK85" s="41">
        <f t="shared" si="20"/>
        <v>4971.526999999999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302.179</v>
      </c>
      <c r="K86" s="59">
        <f t="shared" si="21"/>
        <v>1144.105</v>
      </c>
      <c r="L86" s="59">
        <f t="shared" si="21"/>
        <v>0</v>
      </c>
      <c r="M86" s="59">
        <f t="shared" si="21"/>
        <v>5326.775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1406.7</v>
      </c>
      <c r="R86" s="59">
        <f t="shared" si="21"/>
        <v>2485.9</v>
      </c>
      <c r="S86" s="59">
        <f t="shared" si="21"/>
        <v>0</v>
      </c>
      <c r="T86" s="59">
        <f t="shared" si="21"/>
        <v>83.95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203.70000000000002</v>
      </c>
      <c r="Y86" s="59">
        <f t="shared" si="21"/>
        <v>1540.3000000000002</v>
      </c>
      <c r="Z86" s="59">
        <f t="shared" si="21"/>
        <v>0</v>
      </c>
      <c r="AA86" s="59">
        <f t="shared" si="21"/>
        <v>5141.708999999999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1937.4470000000003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23332.349000000002</v>
      </c>
      <c r="AK86" s="41">
        <f t="shared" si="20"/>
        <v>-14206.622999999992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43.556</v>
      </c>
      <c r="K87" s="45">
        <f t="shared" si="22"/>
        <v>283.027</v>
      </c>
      <c r="L87" s="45">
        <f t="shared" si="22"/>
        <v>0</v>
      </c>
      <c r="M87" s="45">
        <f t="shared" si="22"/>
        <v>4329.371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368</v>
      </c>
      <c r="R87" s="45">
        <f t="shared" si="22"/>
        <v>412.4</v>
      </c>
      <c r="S87" s="45">
        <f t="shared" si="22"/>
        <v>0</v>
      </c>
      <c r="T87" s="45">
        <f t="shared" si="22"/>
        <v>67.4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533.1</v>
      </c>
      <c r="Z87" s="45">
        <f t="shared" si="22"/>
        <v>0</v>
      </c>
      <c r="AA87" s="45">
        <f t="shared" si="22"/>
        <v>4972.960999999999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1960.5990000000002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13561.606</v>
      </c>
      <c r="AK87" s="41">
        <f t="shared" si="20"/>
        <v>-3515.6849999999977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1.8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0.758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4.432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6.99</v>
      </c>
      <c r="AK88" s="41">
        <f t="shared" si="20"/>
        <v>-9.345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50.19</v>
      </c>
      <c r="K90" s="45">
        <f t="shared" si="25"/>
        <v>30.372</v>
      </c>
      <c r="L90" s="45">
        <f t="shared" si="25"/>
        <v>0</v>
      </c>
      <c r="M90" s="45">
        <f t="shared" si="25"/>
        <v>510.35499999999996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429.2</v>
      </c>
      <c r="R90" s="45">
        <f t="shared" si="25"/>
        <v>29</v>
      </c>
      <c r="S90" s="45">
        <f t="shared" si="25"/>
        <v>0</v>
      </c>
      <c r="T90" s="45">
        <f t="shared" si="25"/>
        <v>16.05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1.7</v>
      </c>
      <c r="Z90" s="45">
        <f t="shared" si="25"/>
        <v>0</v>
      </c>
      <c r="AA90" s="45">
        <f t="shared" si="25"/>
        <v>7.726999999999999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0.775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1184.8400000000004</v>
      </c>
      <c r="AK90" s="41">
        <f t="shared" si="20"/>
        <v>-4394.460999999998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41.672</v>
      </c>
      <c r="K92" s="45">
        <f t="shared" si="27"/>
        <v>137.349</v>
      </c>
      <c r="L92" s="45">
        <f t="shared" si="27"/>
        <v>0</v>
      </c>
      <c r="M92" s="45">
        <f t="shared" si="27"/>
        <v>48.616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65.5</v>
      </c>
      <c r="R92" s="45">
        <f t="shared" si="27"/>
        <v>910.6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271.6</v>
      </c>
      <c r="Z92" s="45">
        <f t="shared" si="27"/>
        <v>0</v>
      </c>
      <c r="AA92" s="45">
        <f t="shared" si="27"/>
        <v>144.764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49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3025.32</v>
      </c>
      <c r="AK92" s="41">
        <f t="shared" si="20"/>
        <v>-2441.8169999999996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166.761</v>
      </c>
      <c r="K93" s="45">
        <f t="shared" si="28"/>
        <v>693.357</v>
      </c>
      <c r="L93" s="45">
        <f t="shared" si="28"/>
        <v>0</v>
      </c>
      <c r="M93" s="45">
        <f t="shared" si="28"/>
        <v>436.63300000000004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544</v>
      </c>
      <c r="R93" s="45">
        <f t="shared" si="28"/>
        <v>1133.9</v>
      </c>
      <c r="S93" s="45">
        <f t="shared" si="28"/>
        <v>0</v>
      </c>
      <c r="T93" s="45">
        <f t="shared" si="28"/>
        <v>0.5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203.70000000000002</v>
      </c>
      <c r="Y93" s="45">
        <f t="shared" si="28"/>
        <v>733.9</v>
      </c>
      <c r="Z93" s="45">
        <f t="shared" si="28"/>
        <v>0</v>
      </c>
      <c r="AA93" s="45">
        <f t="shared" si="28"/>
        <v>15.498999999999999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-77.35900000000001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5553.592999999999</v>
      </c>
      <c r="AK93" s="41">
        <f t="shared" si="20"/>
        <v>-2232.915000000002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>
        <f t="shared" si="29"/>
        <v>0</v>
      </c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>
        <f t="shared" si="29"/>
        <v>0</v>
      </c>
      <c r="K95" s="62">
        <f t="shared" si="29"/>
        <v>0</v>
      </c>
      <c r="L95" s="62">
        <f t="shared" si="29"/>
        <v>0</v>
      </c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>
        <f t="shared" si="29"/>
        <v>0</v>
      </c>
      <c r="R95" s="62">
        <f t="shared" si="29"/>
        <v>0</v>
      </c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>
        <f t="shared" si="29"/>
        <v>0</v>
      </c>
      <c r="Y95" s="62">
        <f t="shared" si="29"/>
        <v>0</v>
      </c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>
        <f t="shared" si="29"/>
        <v>0</v>
      </c>
      <c r="AF95" s="62">
        <f t="shared" si="29"/>
        <v>0</v>
      </c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zoomScale="55" zoomScaleNormal="55" zoomScaleSheetLayoutView="7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95" sqref="D95:AJ9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5" width="4.00390625" style="5" customWidth="1"/>
    <col min="6" max="6" width="3.57421875" style="5" customWidth="1"/>
    <col min="7" max="8" width="8.140625" style="5" customWidth="1"/>
    <col min="9" max="10" width="8.7109375" style="5" customWidth="1"/>
    <col min="11" max="11" width="9.8515625" style="5" customWidth="1"/>
    <col min="12" max="12" width="3.8515625" style="5" customWidth="1"/>
    <col min="13" max="13" width="3.7109375" style="5" customWidth="1"/>
    <col min="14" max="14" width="4.00390625" style="5" customWidth="1"/>
    <col min="15" max="15" width="9.28125" style="5" customWidth="1"/>
    <col min="16" max="16" width="8.7109375" style="5" customWidth="1"/>
    <col min="17" max="18" width="8.28125" style="5" customWidth="1"/>
    <col min="19" max="19" width="6.7109375" style="5" customWidth="1"/>
    <col min="20" max="20" width="4.28125" style="5" customWidth="1"/>
    <col min="21" max="22" width="7.57421875" style="5" customWidth="1"/>
    <col min="23" max="23" width="8.28125" style="5" customWidth="1"/>
    <col min="24" max="24" width="8.7109375" style="5" customWidth="1"/>
    <col min="25" max="25" width="9.8515625" style="5" customWidth="1"/>
    <col min="26" max="26" width="4.7109375" style="5" customWidth="1"/>
    <col min="27" max="27" width="3.8515625" style="5" customWidth="1"/>
    <col min="28" max="28" width="9.00390625" style="5" customWidth="1"/>
    <col min="29" max="31" width="8.7109375" style="5" customWidth="1"/>
    <col min="32" max="32" width="8.28125" style="5" customWidth="1"/>
    <col min="33" max="33" width="4.7109375" style="5" customWidth="1"/>
    <col min="34" max="34" width="3.8515625" style="5" customWidth="1"/>
    <col min="35" max="35" width="0.289062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77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>
        <f>SUM(E6:AI6)</f>
        <v>0</v>
      </c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5438.2</v>
      </c>
      <c r="D7" s="15"/>
      <c r="E7" s="21"/>
      <c r="F7" s="17"/>
      <c r="G7" s="17">
        <v>2719.1</v>
      </c>
      <c r="H7" s="17"/>
      <c r="I7" s="17"/>
      <c r="J7" s="17"/>
      <c r="K7" s="17"/>
      <c r="L7" s="17"/>
      <c r="M7" s="17"/>
      <c r="N7" s="22"/>
      <c r="O7" s="17">
        <v>2719.1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18282</v>
      </c>
      <c r="D8" s="25">
        <f aca="true" t="shared" si="0" ref="D8:AH8">SUM(D9:D16)</f>
        <v>0</v>
      </c>
      <c r="E8" s="25">
        <f t="shared" si="0"/>
        <v>0</v>
      </c>
      <c r="F8" s="25">
        <f t="shared" si="0"/>
        <v>0</v>
      </c>
      <c r="G8" s="25">
        <f t="shared" si="0"/>
        <v>314.09999999999997</v>
      </c>
      <c r="H8" s="25">
        <f t="shared" si="0"/>
        <v>505.1</v>
      </c>
      <c r="I8" s="25">
        <f t="shared" si="0"/>
        <v>795.4000000000001</v>
      </c>
      <c r="J8" s="25">
        <f t="shared" si="0"/>
        <v>2691.8</v>
      </c>
      <c r="K8" s="25">
        <f t="shared" si="0"/>
        <v>500.2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803.6</v>
      </c>
      <c r="P8" s="25">
        <f t="shared" si="0"/>
        <v>467.90000000000003</v>
      </c>
      <c r="Q8" s="25">
        <f t="shared" si="0"/>
        <v>900.8999999999999</v>
      </c>
      <c r="R8" s="25">
        <f t="shared" si="0"/>
        <v>829.1999999999999</v>
      </c>
      <c r="S8" s="25">
        <f t="shared" si="0"/>
        <v>0</v>
      </c>
      <c r="T8" s="25">
        <f t="shared" si="0"/>
        <v>0</v>
      </c>
      <c r="U8" s="25">
        <f>SUM(U9:U16)</f>
        <v>904.3</v>
      </c>
      <c r="V8" s="25">
        <f>SUM(V9:V16)</f>
        <v>1062.2</v>
      </c>
      <c r="W8" s="25">
        <f>SUM(W9:W16)</f>
        <v>1146.5000000000002</v>
      </c>
      <c r="X8" s="25">
        <f t="shared" si="0"/>
        <v>425.2</v>
      </c>
      <c r="Y8" s="25">
        <f t="shared" si="0"/>
        <v>999.0999999999999</v>
      </c>
      <c r="Z8" s="25">
        <f t="shared" si="0"/>
        <v>0</v>
      </c>
      <c r="AA8" s="25">
        <f t="shared" si="0"/>
        <v>0</v>
      </c>
      <c r="AB8" s="25">
        <f t="shared" si="0"/>
        <v>1804.3</v>
      </c>
      <c r="AC8" s="25">
        <f t="shared" si="0"/>
        <v>826.7000000000002</v>
      </c>
      <c r="AD8" s="25">
        <f t="shared" si="0"/>
        <v>1202.5</v>
      </c>
      <c r="AE8" s="25">
        <f t="shared" si="0"/>
        <v>1384.9999999999998</v>
      </c>
      <c r="AF8" s="25">
        <f t="shared" si="0"/>
        <v>717.9999999999999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9205.500000000002</v>
      </c>
      <c r="D9" s="28"/>
      <c r="E9" s="29"/>
      <c r="F9" s="22"/>
      <c r="G9" s="22">
        <v>73.6</v>
      </c>
      <c r="H9" s="22">
        <v>131.3</v>
      </c>
      <c r="I9" s="22">
        <v>627.4</v>
      </c>
      <c r="J9" s="22">
        <v>2332.3</v>
      </c>
      <c r="K9" s="22">
        <v>130.8</v>
      </c>
      <c r="L9" s="22"/>
      <c r="M9" s="22"/>
      <c r="N9" s="22"/>
      <c r="O9" s="22">
        <v>351.8</v>
      </c>
      <c r="P9" s="22">
        <v>219.7</v>
      </c>
      <c r="Q9" s="22">
        <v>439.8</v>
      </c>
      <c r="R9" s="22">
        <v>453.4</v>
      </c>
      <c r="S9" s="22"/>
      <c r="T9" s="22"/>
      <c r="U9" s="22">
        <v>131.9</v>
      </c>
      <c r="V9" s="22">
        <v>393.2</v>
      </c>
      <c r="W9" s="22">
        <v>615.1</v>
      </c>
      <c r="X9" s="22">
        <v>302.6</v>
      </c>
      <c r="Y9" s="22">
        <v>681.3</v>
      </c>
      <c r="Z9" s="30"/>
      <c r="AA9" s="30"/>
      <c r="AB9" s="22">
        <v>435.6</v>
      </c>
      <c r="AC9" s="30">
        <v>74.3</v>
      </c>
      <c r="AD9" s="22">
        <v>652.5</v>
      </c>
      <c r="AE9" s="22">
        <v>852.3</v>
      </c>
      <c r="AF9" s="22">
        <v>306.6</v>
      </c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0.4</v>
      </c>
      <c r="D10" s="28"/>
      <c r="E10" s="29"/>
      <c r="F10" s="22"/>
      <c r="G10" s="22"/>
      <c r="H10" s="22"/>
      <c r="I10" s="22">
        <v>0.1</v>
      </c>
      <c r="J10" s="22"/>
      <c r="K10" s="22">
        <v>0.3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1341.8000000000002</v>
      </c>
      <c r="D11" s="28"/>
      <c r="E11" s="29"/>
      <c r="F11" s="22"/>
      <c r="G11" s="22">
        <v>79.3</v>
      </c>
      <c r="H11" s="22">
        <v>41.3</v>
      </c>
      <c r="I11" s="22">
        <v>22.7</v>
      </c>
      <c r="J11" s="22">
        <v>30.1</v>
      </c>
      <c r="K11" s="22">
        <v>31</v>
      </c>
      <c r="L11" s="22"/>
      <c r="M11" s="22"/>
      <c r="N11" s="22"/>
      <c r="O11" s="22">
        <v>106.4</v>
      </c>
      <c r="P11" s="22">
        <v>43.2</v>
      </c>
      <c r="Q11" s="22">
        <v>66.1</v>
      </c>
      <c r="R11" s="22">
        <v>37.3</v>
      </c>
      <c r="S11" s="22"/>
      <c r="T11" s="22"/>
      <c r="U11" s="22">
        <v>72.9</v>
      </c>
      <c r="V11" s="22">
        <v>53</v>
      </c>
      <c r="W11" s="22">
        <v>60.7</v>
      </c>
      <c r="X11" s="22">
        <v>32.6</v>
      </c>
      <c r="Y11" s="22">
        <v>27.6</v>
      </c>
      <c r="Z11" s="30"/>
      <c r="AA11" s="30"/>
      <c r="AB11" s="22">
        <v>143.6</v>
      </c>
      <c r="AC11" s="30">
        <v>48</v>
      </c>
      <c r="AD11" s="22">
        <v>116.4</v>
      </c>
      <c r="AE11" s="22">
        <v>180.9</v>
      </c>
      <c r="AF11" s="22">
        <v>148.7</v>
      </c>
      <c r="AG11" s="22"/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2222.1</v>
      </c>
      <c r="D12" s="28"/>
      <c r="E12" s="29"/>
      <c r="F12" s="22"/>
      <c r="G12" s="22">
        <v>42.8</v>
      </c>
      <c r="H12" s="22">
        <v>68.4</v>
      </c>
      <c r="I12" s="22">
        <v>36.4</v>
      </c>
      <c r="J12" s="22">
        <v>48.9</v>
      </c>
      <c r="K12" s="22">
        <v>120.7</v>
      </c>
      <c r="L12" s="22"/>
      <c r="M12" s="22"/>
      <c r="N12" s="22"/>
      <c r="O12" s="22">
        <v>96.5</v>
      </c>
      <c r="P12" s="22">
        <v>49.5</v>
      </c>
      <c r="Q12" s="22">
        <v>60.3</v>
      </c>
      <c r="R12" s="22">
        <v>53.6</v>
      </c>
      <c r="S12" s="22"/>
      <c r="T12" s="22"/>
      <c r="U12" s="22">
        <v>63.9</v>
      </c>
      <c r="V12" s="22">
        <v>56.3</v>
      </c>
      <c r="W12" s="22">
        <v>30.9</v>
      </c>
      <c r="X12" s="22">
        <v>14.9</v>
      </c>
      <c r="Y12" s="22">
        <v>48.7</v>
      </c>
      <c r="Z12" s="30"/>
      <c r="AA12" s="30"/>
      <c r="AB12" s="22">
        <v>1101.4</v>
      </c>
      <c r="AC12" s="30">
        <v>31</v>
      </c>
      <c r="AD12" s="22">
        <v>94.6</v>
      </c>
      <c r="AE12" s="22">
        <v>106.1</v>
      </c>
      <c r="AF12" s="22">
        <v>97.2</v>
      </c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1974.9999999999998</v>
      </c>
      <c r="D13" s="28"/>
      <c r="E13" s="29"/>
      <c r="F13" s="22"/>
      <c r="G13" s="22">
        <v>6.7</v>
      </c>
      <c r="H13" s="22">
        <v>25.8</v>
      </c>
      <c r="I13" s="22">
        <v>5.8</v>
      </c>
      <c r="J13" s="22">
        <v>74.8</v>
      </c>
      <c r="K13" s="22">
        <v>28.9</v>
      </c>
      <c r="L13" s="22"/>
      <c r="M13" s="22"/>
      <c r="N13" s="22"/>
      <c r="O13" s="22">
        <v>95.6</v>
      </c>
      <c r="P13" s="22">
        <v>13.8</v>
      </c>
      <c r="Q13" s="22">
        <v>45.3</v>
      </c>
      <c r="R13" s="22">
        <v>20.5</v>
      </c>
      <c r="S13" s="22"/>
      <c r="T13" s="22"/>
      <c r="U13" s="22">
        <v>39.3</v>
      </c>
      <c r="V13" s="22">
        <v>41.6</v>
      </c>
      <c r="W13" s="22">
        <v>254.9</v>
      </c>
      <c r="X13" s="22">
        <v>28.9</v>
      </c>
      <c r="Y13" s="22">
        <v>21.3</v>
      </c>
      <c r="Z13" s="30"/>
      <c r="AA13" s="30"/>
      <c r="AB13" s="22">
        <v>102.5</v>
      </c>
      <c r="AC13" s="22">
        <v>602.6</v>
      </c>
      <c r="AD13" s="22">
        <v>228.3</v>
      </c>
      <c r="AE13" s="22">
        <v>164.6</v>
      </c>
      <c r="AF13" s="22">
        <v>173.8</v>
      </c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3059.6000000000004</v>
      </c>
      <c r="D14" s="28"/>
      <c r="E14" s="29"/>
      <c r="F14" s="22"/>
      <c r="G14" s="22">
        <v>100.7</v>
      </c>
      <c r="H14" s="22">
        <v>233.3</v>
      </c>
      <c r="I14" s="22">
        <v>95.7</v>
      </c>
      <c r="J14" s="22">
        <v>198</v>
      </c>
      <c r="K14" s="22">
        <v>186.8</v>
      </c>
      <c r="L14" s="22"/>
      <c r="M14" s="22"/>
      <c r="N14" s="22"/>
      <c r="O14" s="22">
        <v>143.9</v>
      </c>
      <c r="P14" s="22">
        <v>133.3</v>
      </c>
      <c r="Q14" s="22">
        <v>131.6</v>
      </c>
      <c r="R14" s="22">
        <v>243.6</v>
      </c>
      <c r="S14" s="22"/>
      <c r="T14" s="22"/>
      <c r="U14" s="22">
        <v>573</v>
      </c>
      <c r="V14" s="22">
        <v>491.7</v>
      </c>
      <c r="W14" s="22">
        <v>168.6</v>
      </c>
      <c r="X14" s="22">
        <v>25.2</v>
      </c>
      <c r="Y14" s="22">
        <v>214.9</v>
      </c>
      <c r="Z14" s="30"/>
      <c r="AA14" s="30"/>
      <c r="AB14" s="22">
        <v>8.8</v>
      </c>
      <c r="AC14" s="30">
        <v>60.9</v>
      </c>
      <c r="AD14" s="22">
        <v>19.9</v>
      </c>
      <c r="AE14" s="22">
        <v>58.9</v>
      </c>
      <c r="AF14" s="22">
        <v>-29.2</v>
      </c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100.39999999999998</v>
      </c>
      <c r="D15" s="28"/>
      <c r="E15" s="29"/>
      <c r="F15" s="22"/>
      <c r="G15" s="22">
        <v>2.1</v>
      </c>
      <c r="H15" s="22">
        <v>2.9</v>
      </c>
      <c r="I15" s="22">
        <v>1.2</v>
      </c>
      <c r="J15" s="22">
        <v>2</v>
      </c>
      <c r="K15" s="22">
        <v>0.9</v>
      </c>
      <c r="L15" s="22"/>
      <c r="M15" s="22"/>
      <c r="N15" s="22"/>
      <c r="O15" s="22">
        <v>2.3</v>
      </c>
      <c r="P15" s="22">
        <v>5.6</v>
      </c>
      <c r="Q15" s="22">
        <v>1.4</v>
      </c>
      <c r="R15" s="22">
        <v>7.9</v>
      </c>
      <c r="S15" s="22"/>
      <c r="T15" s="22"/>
      <c r="U15" s="22">
        <v>10.5</v>
      </c>
      <c r="V15" s="22">
        <v>6.5</v>
      </c>
      <c r="W15" s="22">
        <v>4.9</v>
      </c>
      <c r="X15" s="22">
        <v>5.9</v>
      </c>
      <c r="Y15" s="22">
        <v>1.5</v>
      </c>
      <c r="Z15" s="30"/>
      <c r="AA15" s="30"/>
      <c r="AB15" s="22">
        <v>9.8</v>
      </c>
      <c r="AC15" s="30">
        <v>3.2</v>
      </c>
      <c r="AD15" s="22">
        <v>15.1</v>
      </c>
      <c r="AE15" s="22">
        <v>10.6</v>
      </c>
      <c r="AF15" s="22">
        <v>6.1</v>
      </c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377.2000000000001</v>
      </c>
      <c r="D16" s="28"/>
      <c r="E16" s="29"/>
      <c r="F16" s="22"/>
      <c r="G16" s="22">
        <v>8.9</v>
      </c>
      <c r="H16" s="22">
        <v>2.1</v>
      </c>
      <c r="I16" s="22">
        <v>6.1</v>
      </c>
      <c r="J16" s="22">
        <v>5.7</v>
      </c>
      <c r="K16" s="22">
        <v>0.8</v>
      </c>
      <c r="L16" s="22"/>
      <c r="M16" s="22"/>
      <c r="N16" s="22"/>
      <c r="O16" s="22">
        <v>7.1</v>
      </c>
      <c r="P16" s="22">
        <v>2.8</v>
      </c>
      <c r="Q16" s="22">
        <v>156.4</v>
      </c>
      <c r="R16" s="22">
        <v>12.9</v>
      </c>
      <c r="S16" s="22"/>
      <c r="T16" s="22"/>
      <c r="U16" s="22">
        <v>12.8</v>
      </c>
      <c r="V16" s="22">
        <v>19.9</v>
      </c>
      <c r="W16" s="22">
        <v>11.4</v>
      </c>
      <c r="X16" s="22">
        <v>15.1</v>
      </c>
      <c r="Y16" s="22">
        <v>3.8</v>
      </c>
      <c r="Z16" s="30"/>
      <c r="AA16" s="30"/>
      <c r="AB16" s="22">
        <v>2.6</v>
      </c>
      <c r="AC16" s="30">
        <v>6.7</v>
      </c>
      <c r="AD16" s="22">
        <v>75.7</v>
      </c>
      <c r="AE16" s="22">
        <v>11.6</v>
      </c>
      <c r="AF16" s="22">
        <v>14.8</v>
      </c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22924.8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0</v>
      </c>
      <c r="G17" s="38">
        <f t="shared" si="2"/>
        <v>3033.2</v>
      </c>
      <c r="H17" s="38">
        <f t="shared" si="2"/>
        <v>505.1</v>
      </c>
      <c r="I17" s="38">
        <v>0</v>
      </c>
      <c r="J17" s="38">
        <f t="shared" si="2"/>
        <v>2691.8</v>
      </c>
      <c r="K17" s="38">
        <f t="shared" si="2"/>
        <v>500.2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3522.7</v>
      </c>
      <c r="P17" s="38">
        <f t="shared" si="2"/>
        <v>467.90000000000003</v>
      </c>
      <c r="Q17" s="38">
        <f t="shared" si="2"/>
        <v>900.8999999999999</v>
      </c>
      <c r="R17" s="38">
        <f t="shared" si="2"/>
        <v>829.1999999999999</v>
      </c>
      <c r="S17" s="38">
        <f t="shared" si="2"/>
        <v>0</v>
      </c>
      <c r="T17" s="38">
        <f t="shared" si="2"/>
        <v>0</v>
      </c>
      <c r="U17" s="38">
        <f t="shared" si="2"/>
        <v>904.3</v>
      </c>
      <c r="V17" s="38">
        <f t="shared" si="2"/>
        <v>1062.2</v>
      </c>
      <c r="W17" s="38">
        <f t="shared" si="2"/>
        <v>1146.5000000000002</v>
      </c>
      <c r="X17" s="38">
        <f t="shared" si="2"/>
        <v>425.2</v>
      </c>
      <c r="Y17" s="38">
        <f t="shared" si="2"/>
        <v>999.0999999999999</v>
      </c>
      <c r="Z17" s="38">
        <f t="shared" si="2"/>
        <v>0</v>
      </c>
      <c r="AA17" s="38">
        <f t="shared" si="2"/>
        <v>0</v>
      </c>
      <c r="AB17" s="38">
        <f t="shared" si="2"/>
        <v>1804.3</v>
      </c>
      <c r="AC17" s="38">
        <f t="shared" si="2"/>
        <v>826.7000000000002</v>
      </c>
      <c r="AD17" s="38">
        <f t="shared" si="2"/>
        <v>1202.5</v>
      </c>
      <c r="AE17" s="38">
        <f t="shared" si="2"/>
        <v>1384.9999999999998</v>
      </c>
      <c r="AF17" s="38">
        <f t="shared" si="2"/>
        <v>717.9999999999999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42436.710200000016</v>
      </c>
      <c r="D18" s="40">
        <f aca="true" t="shared" si="3" ref="D18:AJ18">D19+D23+D29+D32+D33+D35+D36+D41+D45+D49+D52+D56+D66+D73+D79+D80+D85+D31+D69+D77+D75+D76+D81+D82+D84+D72+D34+D62+D78+D64+D83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467.913</v>
      </c>
      <c r="I18" s="40">
        <f t="shared" si="3"/>
        <v>1718.67</v>
      </c>
      <c r="J18" s="40">
        <f t="shared" si="3"/>
        <v>0</v>
      </c>
      <c r="K18" s="40">
        <f t="shared" si="3"/>
        <v>1280.179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655.045</v>
      </c>
      <c r="P18" s="40">
        <f t="shared" si="3"/>
        <v>4414.743999999998</v>
      </c>
      <c r="Q18" s="40">
        <f t="shared" si="3"/>
        <v>0</v>
      </c>
      <c r="R18" s="40">
        <f t="shared" si="3"/>
        <v>2331.8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701.233</v>
      </c>
      <c r="W18" s="40">
        <f t="shared" si="3"/>
        <v>68.936</v>
      </c>
      <c r="X18" s="40">
        <f t="shared" si="3"/>
        <v>0</v>
      </c>
      <c r="Y18" s="40">
        <f t="shared" si="3"/>
        <v>3559.6929699999996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5638.585999999999</v>
      </c>
      <c r="AD18" s="40">
        <f t="shared" si="3"/>
        <v>119.82999999999998</v>
      </c>
      <c r="AE18" s="40">
        <f t="shared" si="3"/>
        <v>-160.482</v>
      </c>
      <c r="AF18" s="40">
        <f t="shared" si="3"/>
        <v>-1.102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20795.04497</v>
      </c>
      <c r="AK18" s="41">
        <f aca="true" t="shared" si="4" ref="AK18:AK81">AJ18-C18</f>
        <v>-21641.665230000017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6067.835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1.744</v>
      </c>
      <c r="I19" s="43">
        <f t="shared" si="5"/>
        <v>27.668999999999997</v>
      </c>
      <c r="J19" s="43">
        <f t="shared" si="5"/>
        <v>0</v>
      </c>
      <c r="K19" s="43">
        <f t="shared" si="5"/>
        <v>241.19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99.493</v>
      </c>
      <c r="P19" s="43">
        <f t="shared" si="5"/>
        <v>952.2</v>
      </c>
      <c r="Q19" s="43">
        <f t="shared" si="5"/>
        <v>0</v>
      </c>
      <c r="R19" s="43">
        <f t="shared" si="5"/>
        <v>39.381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20.7</v>
      </c>
      <c r="W19" s="43">
        <f t="shared" si="5"/>
        <v>19.736</v>
      </c>
      <c r="X19" s="43">
        <f t="shared" si="5"/>
        <v>0</v>
      </c>
      <c r="Y19" s="43">
        <f t="shared" si="5"/>
        <v>58.91097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1616.181</v>
      </c>
      <c r="AD19" s="43">
        <f t="shared" si="5"/>
        <v>119.75999999999999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3196.96497</v>
      </c>
      <c r="AK19" s="41">
        <f t="shared" si="4"/>
        <v>-2870.87003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3732.704</v>
      </c>
      <c r="D20" s="45"/>
      <c r="E20" s="17"/>
      <c r="F20" s="17"/>
      <c r="G20" s="17"/>
      <c r="H20" s="17"/>
      <c r="I20" s="17">
        <v>23.429</v>
      </c>
      <c r="J20" s="17"/>
      <c r="K20" s="17">
        <v>232.685</v>
      </c>
      <c r="L20" s="17"/>
      <c r="M20" s="22"/>
      <c r="N20" s="22"/>
      <c r="O20" s="17">
        <v>94.85</v>
      </c>
      <c r="P20" s="17">
        <v>940.481</v>
      </c>
      <c r="Q20" s="17"/>
      <c r="R20" s="17"/>
      <c r="S20" s="17"/>
      <c r="T20" s="17"/>
      <c r="U20" s="17"/>
      <c r="V20" s="17"/>
      <c r="W20" s="17"/>
      <c r="X20" s="17"/>
      <c r="Y20" s="17">
        <v>49.925</v>
      </c>
      <c r="Z20" s="17"/>
      <c r="AA20" s="17"/>
      <c r="AB20" s="17"/>
      <c r="AC20" s="17">
        <v>1603.417</v>
      </c>
      <c r="AD20" s="22">
        <v>117.073</v>
      </c>
      <c r="AE20" s="22"/>
      <c r="AF20" s="22"/>
      <c r="AG20" s="22"/>
      <c r="AH20" s="17"/>
      <c r="AI20" s="17"/>
      <c r="AJ20" s="17">
        <f>SUM(D20:AI20)</f>
        <v>3061.8599999999997</v>
      </c>
      <c r="AK20" s="41">
        <f t="shared" si="4"/>
        <v>-670.8440000000005</v>
      </c>
      <c r="AL20" s="7"/>
      <c r="AM20" s="66" t="s">
        <v>21</v>
      </c>
      <c r="AN20" s="67">
        <f>AJ19</f>
        <v>3196.96497</v>
      </c>
      <c r="AO20" s="73"/>
      <c r="AP20" s="8"/>
    </row>
    <row r="21" spans="2:42" ht="15.75">
      <c r="B21" s="44" t="s">
        <v>22</v>
      </c>
      <c r="C21" s="45">
        <v>242.594</v>
      </c>
      <c r="D21" s="45"/>
      <c r="E21" s="17"/>
      <c r="F21" s="17"/>
      <c r="G21" s="17"/>
      <c r="H21" s="17">
        <v>0.844</v>
      </c>
      <c r="I21" s="17"/>
      <c r="J21" s="17"/>
      <c r="K21" s="17"/>
      <c r="L21" s="17"/>
      <c r="M21" s="22"/>
      <c r="N21" s="22"/>
      <c r="O21" s="17">
        <v>2.451</v>
      </c>
      <c r="P21" s="17">
        <v>5.71</v>
      </c>
      <c r="Q21" s="17"/>
      <c r="R21" s="17">
        <v>1.472</v>
      </c>
      <c r="S21" s="17"/>
      <c r="T21" s="17"/>
      <c r="U21" s="17"/>
      <c r="V21" s="17">
        <v>19.9</v>
      </c>
      <c r="W21" s="17">
        <v>11.847</v>
      </c>
      <c r="X21" s="17"/>
      <c r="Y21" s="17">
        <f>0.01897+7.348</f>
        <v>7.36697</v>
      </c>
      <c r="Z21" s="17"/>
      <c r="AA21" s="17"/>
      <c r="AB21" s="17"/>
      <c r="AC21" s="17">
        <v>1.701</v>
      </c>
      <c r="AD21" s="22"/>
      <c r="AE21" s="22"/>
      <c r="AF21" s="22"/>
      <c r="AG21" s="22"/>
      <c r="AH21" s="17"/>
      <c r="AI21" s="17"/>
      <c r="AJ21" s="17">
        <f>SUM(D21:AI21)</f>
        <v>51.29197</v>
      </c>
      <c r="AK21" s="41">
        <f t="shared" si="4"/>
        <v>-191.30203</v>
      </c>
      <c r="AL21" s="7"/>
      <c r="AM21" s="66" t="s">
        <v>23</v>
      </c>
      <c r="AN21" s="67">
        <f>AJ23</f>
        <v>10286.693000000001</v>
      </c>
      <c r="AO21" s="73"/>
      <c r="AP21" s="8"/>
    </row>
    <row r="22" spans="2:42" ht="15.75">
      <c r="B22" s="44" t="s">
        <v>24</v>
      </c>
      <c r="C22" s="45">
        <v>2092.537</v>
      </c>
      <c r="D22" s="45"/>
      <c r="E22" s="17"/>
      <c r="F22" s="17"/>
      <c r="G22" s="17"/>
      <c r="H22" s="17">
        <v>0.9</v>
      </c>
      <c r="I22" s="17">
        <v>4.24</v>
      </c>
      <c r="J22" s="17"/>
      <c r="K22" s="17">
        <v>8.505</v>
      </c>
      <c r="L22" s="17"/>
      <c r="M22" s="17"/>
      <c r="N22" s="17"/>
      <c r="O22" s="17">
        <v>2.192</v>
      </c>
      <c r="P22" s="17">
        <v>6.009</v>
      </c>
      <c r="Q22" s="17"/>
      <c r="R22" s="17">
        <f>33.009+4.9</f>
        <v>37.909</v>
      </c>
      <c r="S22" s="17"/>
      <c r="T22" s="17"/>
      <c r="U22" s="17"/>
      <c r="V22" s="17">
        <v>0.8</v>
      </c>
      <c r="W22" s="17">
        <v>7.889</v>
      </c>
      <c r="X22" s="17"/>
      <c r="Y22" s="17">
        <v>1.619</v>
      </c>
      <c r="Z22" s="17"/>
      <c r="AA22" s="17"/>
      <c r="AB22" s="17"/>
      <c r="AC22" s="17">
        <v>11.063</v>
      </c>
      <c r="AD22" s="17">
        <v>2.687</v>
      </c>
      <c r="AE22" s="17"/>
      <c r="AF22" s="17"/>
      <c r="AG22" s="17"/>
      <c r="AH22" s="17"/>
      <c r="AI22" s="17"/>
      <c r="AJ22" s="17">
        <f>SUM(D22:AI22)</f>
        <v>83.813</v>
      </c>
      <c r="AK22" s="41">
        <f t="shared" si="4"/>
        <v>-2008.7239999999997</v>
      </c>
      <c r="AL22" s="7"/>
      <c r="AM22" s="66" t="s">
        <v>25</v>
      </c>
      <c r="AN22" s="67">
        <f>$AJ$29+$AJ$31</f>
        <v>410.2820000000001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23461.078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8.721</v>
      </c>
      <c r="I23" s="43">
        <f t="shared" si="6"/>
        <v>24.242</v>
      </c>
      <c r="J23" s="43">
        <f t="shared" si="6"/>
        <v>0</v>
      </c>
      <c r="K23" s="43">
        <f t="shared" si="6"/>
        <v>739.5649999999999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253.973</v>
      </c>
      <c r="P23" s="43">
        <f t="shared" si="6"/>
        <v>2881.486</v>
      </c>
      <c r="Q23" s="43">
        <f t="shared" si="6"/>
        <v>0</v>
      </c>
      <c r="R23" s="43">
        <f t="shared" si="6"/>
        <v>801.6859999999999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28.104</v>
      </c>
      <c r="X23" s="43">
        <f t="shared" si="6"/>
        <v>0</v>
      </c>
      <c r="Y23" s="43">
        <f t="shared" si="6"/>
        <v>3152.819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2408.4610000000002</v>
      </c>
      <c r="AD23" s="43">
        <f t="shared" si="6"/>
        <v>0.07</v>
      </c>
      <c r="AE23" s="43">
        <f t="shared" si="6"/>
        <v>-12.434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10286.693000000001</v>
      </c>
      <c r="AK23" s="41">
        <f t="shared" si="4"/>
        <v>-13174.385</v>
      </c>
      <c r="AL23" s="2"/>
      <c r="AM23" s="66" t="s">
        <v>26</v>
      </c>
      <c r="AN23" s="67">
        <f>$AJ$32+$AJ$33+$AJ$36+$AJ$41+$AJ$45+$AJ$35+$AJ$34</f>
        <v>1130.849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15174.237</v>
      </c>
      <c r="D24" s="45"/>
      <c r="E24" s="17"/>
      <c r="F24" s="17"/>
      <c r="G24" s="17"/>
      <c r="H24" s="17"/>
      <c r="I24" s="17">
        <v>8.001</v>
      </c>
      <c r="J24" s="17"/>
      <c r="K24" s="17">
        <v>704.467</v>
      </c>
      <c r="L24" s="17"/>
      <c r="M24" s="17"/>
      <c r="N24" s="22"/>
      <c r="O24" s="17">
        <v>250.77</v>
      </c>
      <c r="P24" s="17">
        <f>1548.379+1178.406+4.3</f>
        <v>2731.085</v>
      </c>
      <c r="Q24" s="17"/>
      <c r="R24" s="17">
        <f>202.847+451.294+19.25</f>
        <v>673.391</v>
      </c>
      <c r="S24" s="17"/>
      <c r="T24" s="17"/>
      <c r="U24" s="17"/>
      <c r="V24" s="17"/>
      <c r="W24" s="17">
        <v>6.529</v>
      </c>
      <c r="X24" s="17"/>
      <c r="Y24" s="17">
        <f>1628.6+29.593+1487.736</f>
        <v>3145.929</v>
      </c>
      <c r="Z24" s="17"/>
      <c r="AA24" s="17"/>
      <c r="AB24" s="17"/>
      <c r="AC24" s="17">
        <f>1044.367+1341.527</f>
        <v>2385.8940000000002</v>
      </c>
      <c r="AD24" s="22"/>
      <c r="AE24" s="22"/>
      <c r="AF24" s="22"/>
      <c r="AG24" s="22"/>
      <c r="AH24" s="17"/>
      <c r="AI24" s="17"/>
      <c r="AJ24" s="17">
        <f>SUM(D24:AI24)</f>
        <v>9906.066</v>
      </c>
      <c r="AK24" s="41">
        <f t="shared" si="4"/>
        <v>-5268.1709999999985</v>
      </c>
      <c r="AL24" s="7"/>
      <c r="AM24" s="66" t="s">
        <v>27</v>
      </c>
      <c r="AN24" s="67">
        <f>$AJ$66+$AJ$69+$AJ$76+$AJ$62+$AJ$64</f>
        <v>1440.5900000000001</v>
      </c>
      <c r="AO24" s="73"/>
      <c r="AP24" s="8"/>
    </row>
    <row r="25" spans="2:42" ht="15.75">
      <c r="B25" s="44" t="s">
        <v>28</v>
      </c>
      <c r="C25" s="45">
        <v>21.76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3.316</v>
      </c>
      <c r="AD25" s="22"/>
      <c r="AE25" s="22"/>
      <c r="AF25" s="22"/>
      <c r="AG25" s="22"/>
      <c r="AH25" s="17"/>
      <c r="AI25" s="17"/>
      <c r="AJ25" s="17">
        <f>SUM(D25:AI25)</f>
        <v>3.316</v>
      </c>
      <c r="AK25" s="41">
        <f t="shared" si="4"/>
        <v>-18.444000000000003</v>
      </c>
      <c r="AL25" s="7"/>
      <c r="AM25" s="66" t="s">
        <v>29</v>
      </c>
      <c r="AN25" s="67">
        <f>$AJ$52</f>
        <v>399.80400000000003</v>
      </c>
      <c r="AO25" s="73"/>
      <c r="AP25" s="8"/>
    </row>
    <row r="26" spans="2:42" ht="15.75">
      <c r="B26" s="44" t="s">
        <v>30</v>
      </c>
      <c r="C26" s="45">
        <v>2152.976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-2152.976</v>
      </c>
      <c r="AL26" s="7"/>
      <c r="AM26" s="66" t="s">
        <v>31</v>
      </c>
      <c r="AN26" s="67">
        <f>$AJ$56</f>
        <v>339.838</v>
      </c>
      <c r="AO26" s="73"/>
      <c r="AP26" s="8"/>
    </row>
    <row r="27" spans="2:42" ht="15.75">
      <c r="B27" s="44" t="s">
        <v>22</v>
      </c>
      <c r="C27" s="45">
        <v>4053.51</v>
      </c>
      <c r="D27" s="45"/>
      <c r="E27" s="17"/>
      <c r="F27" s="17"/>
      <c r="G27" s="17"/>
      <c r="H27" s="17">
        <v>8.721</v>
      </c>
      <c r="I27" s="17">
        <v>14.476</v>
      </c>
      <c r="J27" s="17"/>
      <c r="K27" s="17">
        <v>30.871</v>
      </c>
      <c r="L27" s="17"/>
      <c r="M27" s="17"/>
      <c r="N27" s="22"/>
      <c r="O27" s="17">
        <v>1.44</v>
      </c>
      <c r="P27" s="17">
        <v>0.609</v>
      </c>
      <c r="Q27" s="17"/>
      <c r="R27" s="17">
        <v>11.199</v>
      </c>
      <c r="S27" s="17"/>
      <c r="T27" s="17"/>
      <c r="U27" s="17"/>
      <c r="V27" s="17"/>
      <c r="W27" s="17">
        <v>3.167</v>
      </c>
      <c r="X27" s="17"/>
      <c r="Y27" s="17">
        <v>2.871</v>
      </c>
      <c r="Z27" s="17"/>
      <c r="AA27" s="17"/>
      <c r="AB27" s="17"/>
      <c r="AC27" s="17">
        <v>2.958</v>
      </c>
      <c r="AD27" s="22"/>
      <c r="AE27" s="22">
        <v>-0.1</v>
      </c>
      <c r="AF27" s="22"/>
      <c r="AG27" s="22"/>
      <c r="AH27" s="17"/>
      <c r="AI27" s="17"/>
      <c r="AJ27" s="17">
        <f>SUM(D27:AI27)</f>
        <v>76.212</v>
      </c>
      <c r="AK27" s="41">
        <f t="shared" si="4"/>
        <v>-3977.2980000000002</v>
      </c>
      <c r="AL27" s="7"/>
      <c r="AM27" s="66" t="s">
        <v>32</v>
      </c>
      <c r="AN27" s="67">
        <f>$AJ$49+$AJ$73+$AJ$79+$AJ$80+$AJ$85+$AJ$75+$AJ$77+$AJ$81+$AJ$82+$AJ$84+$AJ$78+$AJ$83</f>
        <v>3590.024</v>
      </c>
      <c r="AO27" s="73"/>
      <c r="AP27" s="8"/>
    </row>
    <row r="28" spans="2:42" ht="15.75">
      <c r="B28" s="44" t="s">
        <v>24</v>
      </c>
      <c r="C28" s="45">
        <v>2058.595</v>
      </c>
      <c r="D28" s="45"/>
      <c r="E28" s="17"/>
      <c r="F28" s="17"/>
      <c r="G28" s="17"/>
      <c r="H28" s="17"/>
      <c r="I28" s="17">
        <v>1.765</v>
      </c>
      <c r="J28" s="17"/>
      <c r="K28" s="17">
        <v>4.227</v>
      </c>
      <c r="L28" s="17"/>
      <c r="M28" s="17"/>
      <c r="N28" s="17"/>
      <c r="O28" s="17">
        <v>1.763</v>
      </c>
      <c r="P28" s="17">
        <v>149.792</v>
      </c>
      <c r="Q28" s="17"/>
      <c r="R28" s="17">
        <v>117.096</v>
      </c>
      <c r="S28" s="17"/>
      <c r="T28" s="17"/>
      <c r="U28" s="17"/>
      <c r="V28" s="17"/>
      <c r="W28" s="17">
        <f>4.688+13.72</f>
        <v>18.408</v>
      </c>
      <c r="X28" s="17"/>
      <c r="Y28" s="17">
        <f>3.571+0.448</f>
        <v>4.019</v>
      </c>
      <c r="Z28" s="17"/>
      <c r="AA28" s="17"/>
      <c r="AB28" s="17"/>
      <c r="AC28" s="17">
        <v>16.293</v>
      </c>
      <c r="AD28" s="17">
        <v>0.07</v>
      </c>
      <c r="AE28" s="17">
        <v>-12.334</v>
      </c>
      <c r="AF28" s="17"/>
      <c r="AG28" s="17"/>
      <c r="AH28" s="17"/>
      <c r="AI28" s="17"/>
      <c r="AJ28" s="17">
        <f>SUM(D28:AI28)</f>
        <v>301.09900000000005</v>
      </c>
      <c r="AK28" s="41">
        <f t="shared" si="4"/>
        <v>-1757.4959999999996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739.893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257.846</v>
      </c>
      <c r="J29" s="43">
        <f t="shared" si="7"/>
        <v>0</v>
      </c>
      <c r="K29" s="43">
        <f t="shared" si="7"/>
        <v>26.684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119.908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4.6</v>
      </c>
      <c r="W29" s="43">
        <f t="shared" si="7"/>
        <v>0</v>
      </c>
      <c r="X29" s="43">
        <f t="shared" si="7"/>
        <v>0</v>
      </c>
      <c r="Y29" s="43">
        <f t="shared" si="7"/>
        <v>1.244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410.2820000000001</v>
      </c>
      <c r="AK29" s="41">
        <f t="shared" si="4"/>
        <v>-329.61099999999993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739.893</v>
      </c>
      <c r="D30" s="34"/>
      <c r="E30" s="22"/>
      <c r="F30" s="22"/>
      <c r="G30" s="22"/>
      <c r="H30" s="22"/>
      <c r="I30" s="22">
        <v>257.846</v>
      </c>
      <c r="J30" s="22"/>
      <c r="K30" s="22">
        <v>26.684</v>
      </c>
      <c r="L30" s="22"/>
      <c r="M30" s="22"/>
      <c r="N30" s="22"/>
      <c r="O30" s="22"/>
      <c r="P30" s="22">
        <v>119.908</v>
      </c>
      <c r="Q30" s="22"/>
      <c r="R30" s="22"/>
      <c r="S30" s="22"/>
      <c r="T30" s="22"/>
      <c r="U30" s="22"/>
      <c r="V30" s="22">
        <v>4.6</v>
      </c>
      <c r="W30" s="22"/>
      <c r="X30" s="22"/>
      <c r="Y30" s="22">
        <v>1.244</v>
      </c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410.2820000000001</v>
      </c>
      <c r="AK30" s="41">
        <f t="shared" si="4"/>
        <v>-329.61099999999993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753.265</v>
      </c>
      <c r="D32" s="43"/>
      <c r="E32" s="43"/>
      <c r="F32" s="43"/>
      <c r="G32" s="43"/>
      <c r="H32" s="43"/>
      <c r="I32" s="43">
        <v>3.227</v>
      </c>
      <c r="J32" s="43"/>
      <c r="K32" s="43"/>
      <c r="L32" s="43"/>
      <c r="M32" s="43"/>
      <c r="N32" s="43"/>
      <c r="O32" s="43"/>
      <c r="P32" s="43">
        <f>2.92+4.986</f>
        <v>7.906</v>
      </c>
      <c r="Q32" s="43"/>
      <c r="R32" s="43">
        <v>130.865</v>
      </c>
      <c r="S32" s="43"/>
      <c r="T32" s="43"/>
      <c r="U32" s="43"/>
      <c r="V32" s="43">
        <v>35.9</v>
      </c>
      <c r="W32" s="43"/>
      <c r="X32" s="43"/>
      <c r="Y32" s="43">
        <v>7.998</v>
      </c>
      <c r="Z32" s="43"/>
      <c r="AA32" s="43"/>
      <c r="AB32" s="43"/>
      <c r="AC32" s="43">
        <v>2.449</v>
      </c>
      <c r="AD32" s="43"/>
      <c r="AE32" s="43"/>
      <c r="AF32" s="43"/>
      <c r="AG32" s="43"/>
      <c r="AH32" s="43"/>
      <c r="AI32" s="43"/>
      <c r="AJ32" s="43">
        <f>SUM(D32:AI32)</f>
        <v>188.34500000000003</v>
      </c>
      <c r="AK32" s="41">
        <f t="shared" si="4"/>
        <v>-564.92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447.55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-447.55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90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-90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163.113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>
        <v>37.191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37.191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757.6840000000001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0</v>
      </c>
      <c r="H36" s="43">
        <f t="shared" si="8"/>
        <v>0</v>
      </c>
      <c r="I36" s="43">
        <f t="shared" si="8"/>
        <v>10.423</v>
      </c>
      <c r="J36" s="43">
        <f t="shared" si="8"/>
        <v>0</v>
      </c>
      <c r="K36" s="43">
        <f t="shared" si="8"/>
        <v>10.643999999999998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184.063</v>
      </c>
      <c r="Q36" s="43">
        <f t="shared" si="8"/>
        <v>0</v>
      </c>
      <c r="R36" s="43">
        <f t="shared" si="8"/>
        <v>1.72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1.344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469.677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677.871</v>
      </c>
      <c r="AK36" s="41">
        <f t="shared" si="4"/>
        <v>-79.8130000000001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693.19</v>
      </c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22"/>
      <c r="O37" s="17"/>
      <c r="P37" s="17">
        <v>184.063</v>
      </c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468.973</v>
      </c>
      <c r="AD37" s="22"/>
      <c r="AE37" s="22"/>
      <c r="AF37" s="22"/>
      <c r="AG37" s="22"/>
      <c r="AH37" s="17"/>
      <c r="AI37" s="17"/>
      <c r="AJ37" s="17">
        <f>SUM(D37:AI37)</f>
        <v>653.0360000000001</v>
      </c>
      <c r="AK37" s="41">
        <f t="shared" si="4"/>
        <v>-40.153999999999996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>
        <v>0</v>
      </c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41.985</v>
      </c>
      <c r="D39" s="45"/>
      <c r="E39" s="17"/>
      <c r="F39" s="17"/>
      <c r="G39" s="17"/>
      <c r="H39" s="17"/>
      <c r="I39" s="17">
        <v>10.253</v>
      </c>
      <c r="J39" s="17"/>
      <c r="K39" s="17">
        <v>4.64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>
        <v>1.344</v>
      </c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16.237000000000002</v>
      </c>
      <c r="AK39" s="41">
        <f t="shared" si="4"/>
        <v>-25.747999999999998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20.694</v>
      </c>
      <c r="D40" s="45"/>
      <c r="E40" s="17"/>
      <c r="F40" s="17"/>
      <c r="G40" s="17"/>
      <c r="H40" s="17"/>
      <c r="I40" s="17">
        <v>0.17</v>
      </c>
      <c r="J40" s="17"/>
      <c r="K40" s="17">
        <v>6.004</v>
      </c>
      <c r="L40" s="17"/>
      <c r="M40" s="17"/>
      <c r="N40" s="17"/>
      <c r="O40" s="17"/>
      <c r="P40" s="17"/>
      <c r="Q40" s="17"/>
      <c r="R40" s="17">
        <v>1.72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0.704</v>
      </c>
      <c r="AD40" s="17"/>
      <c r="AE40" s="17"/>
      <c r="AF40" s="17"/>
      <c r="AG40" s="17"/>
      <c r="AH40" s="17"/>
      <c r="AI40" s="17"/>
      <c r="AJ40" s="17">
        <f>SUM(D40:AI40)</f>
        <v>8.597999999999999</v>
      </c>
      <c r="AK40" s="41">
        <f t="shared" si="4"/>
        <v>-12.096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260.874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0.658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59.123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74.109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133.89</v>
      </c>
      <c r="AK41" s="41">
        <f t="shared" si="4"/>
        <v>-126.98400000000004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225.664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>
        <v>54.451</v>
      </c>
      <c r="Q42" s="17"/>
      <c r="R42" s="17"/>
      <c r="S42" s="17"/>
      <c r="T42" s="17"/>
      <c r="U42" s="17"/>
      <c r="V42" s="50"/>
      <c r="W42" s="17"/>
      <c r="X42" s="17"/>
      <c r="Y42" s="17">
        <v>73.213</v>
      </c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127.66399999999999</v>
      </c>
      <c r="AK42" s="41">
        <f t="shared" si="4"/>
        <v>-98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20.865</v>
      </c>
      <c r="D43" s="45"/>
      <c r="E43" s="17"/>
      <c r="F43" s="17"/>
      <c r="G43" s="17"/>
      <c r="H43" s="17"/>
      <c r="I43" s="17"/>
      <c r="J43" s="17"/>
      <c r="K43" s="17">
        <v>0.538</v>
      </c>
      <c r="L43" s="17"/>
      <c r="M43" s="17"/>
      <c r="N43" s="22"/>
      <c r="O43" s="17"/>
      <c r="P43" s="17">
        <v>3.683</v>
      </c>
      <c r="Q43" s="17"/>
      <c r="R43" s="17"/>
      <c r="S43" s="17"/>
      <c r="T43" s="17"/>
      <c r="U43" s="17"/>
      <c r="V43" s="17"/>
      <c r="W43" s="17"/>
      <c r="X43" s="17"/>
      <c r="Y43" s="17">
        <v>0.057</v>
      </c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4.2780000000000005</v>
      </c>
      <c r="AK43" s="41">
        <f t="shared" si="4"/>
        <v>-16.586999999999996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14.345</v>
      </c>
      <c r="D44" s="45"/>
      <c r="E44" s="17"/>
      <c r="F44" s="17"/>
      <c r="G44" s="17"/>
      <c r="H44" s="17"/>
      <c r="I44" s="17"/>
      <c r="J44" s="17"/>
      <c r="K44" s="17">
        <v>0.12</v>
      </c>
      <c r="L44" s="17"/>
      <c r="M44" s="17"/>
      <c r="N44" s="17"/>
      <c r="O44" s="17"/>
      <c r="P44" s="17">
        <v>0.989</v>
      </c>
      <c r="Q44" s="17"/>
      <c r="R44" s="17"/>
      <c r="S44" s="17"/>
      <c r="T44" s="17"/>
      <c r="U44" s="17"/>
      <c r="V44" s="17"/>
      <c r="W44" s="17"/>
      <c r="X44" s="17"/>
      <c r="Y44" s="17">
        <v>0.839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1.948</v>
      </c>
      <c r="AK44" s="41">
        <f t="shared" si="4"/>
        <v>-12.397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211.82799999999997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43.308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3.709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6</v>
      </c>
      <c r="X45" s="43">
        <f t="shared" si="10"/>
        <v>0</v>
      </c>
      <c r="Y45" s="43">
        <f t="shared" si="10"/>
        <v>40.535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93.55199999999999</v>
      </c>
      <c r="AK45" s="41">
        <f t="shared" si="4"/>
        <v>-118.27599999999998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192.933</v>
      </c>
      <c r="D46" s="45"/>
      <c r="E46" s="17"/>
      <c r="F46" s="17"/>
      <c r="G46" s="17"/>
      <c r="H46" s="17"/>
      <c r="I46" s="17"/>
      <c r="J46" s="17"/>
      <c r="K46" s="17">
        <v>43.308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40.535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83.84299999999999</v>
      </c>
      <c r="AK46" s="41">
        <f t="shared" si="4"/>
        <v>-109.09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6.825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>
        <v>1.709</v>
      </c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1.709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12.07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2</v>
      </c>
      <c r="Q48" s="17"/>
      <c r="R48" s="17"/>
      <c r="S48" s="17"/>
      <c r="T48" s="17"/>
      <c r="U48" s="17"/>
      <c r="V48" s="17"/>
      <c r="W48" s="17">
        <v>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8</v>
      </c>
      <c r="AK48" s="41">
        <f t="shared" si="4"/>
        <v>-4.07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55.71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3.075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3.075</v>
      </c>
      <c r="AK49" s="41">
        <f t="shared" si="4"/>
        <v>-52.635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32.106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-32.106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23.604</v>
      </c>
      <c r="D51" s="34"/>
      <c r="E51" s="22"/>
      <c r="F51" s="22"/>
      <c r="G51" s="22"/>
      <c r="H51" s="22"/>
      <c r="I51" s="22">
        <v>3.075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3.075</v>
      </c>
      <c r="AK51" s="41">
        <f t="shared" si="4"/>
        <v>-20.529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1190.0529999999999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21.621000000000002</v>
      </c>
      <c r="I52" s="43">
        <f t="shared" si="12"/>
        <v>0</v>
      </c>
      <c r="J52" s="43">
        <f t="shared" si="12"/>
        <v>0</v>
      </c>
      <c r="K52" s="43">
        <f t="shared" si="12"/>
        <v>1.78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2.003</v>
      </c>
      <c r="P52" s="43">
        <f t="shared" si="12"/>
        <v>144.535</v>
      </c>
      <c r="Q52" s="43">
        <f t="shared" si="12"/>
        <v>0</v>
      </c>
      <c r="R52" s="43">
        <f t="shared" si="12"/>
        <v>0.845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0.737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228.283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399.80400000000003</v>
      </c>
      <c r="AK52" s="41">
        <f t="shared" si="4"/>
        <v>-790.2489999999998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827.47</v>
      </c>
      <c r="D53" s="45"/>
      <c r="E53" s="17"/>
      <c r="F53" s="17"/>
      <c r="G53" s="17"/>
      <c r="H53" s="17">
        <v>19.664</v>
      </c>
      <c r="I53" s="17"/>
      <c r="J53" s="17"/>
      <c r="K53" s="17">
        <v>0.089</v>
      </c>
      <c r="L53" s="17"/>
      <c r="M53" s="17"/>
      <c r="N53" s="22"/>
      <c r="O53" s="17"/>
      <c r="P53" s="17">
        <v>126.006</v>
      </c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>
        <v>227.733</v>
      </c>
      <c r="AD53" s="22"/>
      <c r="AE53" s="22"/>
      <c r="AF53" s="22"/>
      <c r="AG53" s="22"/>
      <c r="AH53" s="17"/>
      <c r="AI53" s="17"/>
      <c r="AJ53" s="17">
        <f>SUM(D53:AI53)</f>
        <v>373.492</v>
      </c>
      <c r="AK53" s="41">
        <f t="shared" si="4"/>
        <v>-453.978</v>
      </c>
    </row>
    <row r="54" spans="2:37" ht="15.75">
      <c r="B54" s="44" t="s">
        <v>22</v>
      </c>
      <c r="C54" s="45">
        <v>167.695</v>
      </c>
      <c r="D54" s="45"/>
      <c r="E54" s="17"/>
      <c r="F54" s="17"/>
      <c r="G54" s="17"/>
      <c r="H54" s="17">
        <v>1.562</v>
      </c>
      <c r="I54" s="17"/>
      <c r="J54" s="17"/>
      <c r="K54" s="17"/>
      <c r="L54" s="17"/>
      <c r="M54" s="17"/>
      <c r="N54" s="22"/>
      <c r="O54" s="17">
        <v>1.349</v>
      </c>
      <c r="P54" s="17">
        <v>18.529</v>
      </c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>
        <v>0.118</v>
      </c>
      <c r="AD54" s="22"/>
      <c r="AE54" s="22"/>
      <c r="AF54" s="22"/>
      <c r="AG54" s="22"/>
      <c r="AH54" s="17"/>
      <c r="AI54" s="17"/>
      <c r="AJ54" s="17">
        <f>SUM(D54:AI54)</f>
        <v>21.558</v>
      </c>
      <c r="AK54" s="41">
        <f t="shared" si="4"/>
        <v>-146.137</v>
      </c>
    </row>
    <row r="55" spans="2:38" ht="15.75">
      <c r="B55" s="44" t="s">
        <v>24</v>
      </c>
      <c r="C55" s="45">
        <v>194.888</v>
      </c>
      <c r="D55" s="45"/>
      <c r="E55" s="17"/>
      <c r="F55" s="17"/>
      <c r="G55" s="17"/>
      <c r="H55" s="17">
        <v>0.395</v>
      </c>
      <c r="I55" s="17"/>
      <c r="J55" s="17"/>
      <c r="K55" s="17">
        <v>1.691</v>
      </c>
      <c r="L55" s="17"/>
      <c r="M55" s="17"/>
      <c r="N55" s="17"/>
      <c r="O55" s="17">
        <v>0.654</v>
      </c>
      <c r="P55" s="17"/>
      <c r="Q55" s="17"/>
      <c r="R55" s="17">
        <v>0.845</v>
      </c>
      <c r="S55" s="17"/>
      <c r="T55" s="17"/>
      <c r="U55" s="17"/>
      <c r="V55" s="17">
        <v>0.737</v>
      </c>
      <c r="W55" s="17"/>
      <c r="X55" s="17"/>
      <c r="Y55" s="17"/>
      <c r="Z55" s="17"/>
      <c r="AA55" s="17"/>
      <c r="AB55" s="17"/>
      <c r="AC55" s="17">
        <v>0.432</v>
      </c>
      <c r="AD55" s="17"/>
      <c r="AE55" s="17"/>
      <c r="AF55" s="17"/>
      <c r="AG55" s="17"/>
      <c r="AH55" s="17"/>
      <c r="AI55" s="17"/>
      <c r="AJ55" s="17">
        <f>SUM(D55:AI55)</f>
        <v>4.7540000000000004</v>
      </c>
      <c r="AK55" s="41">
        <f t="shared" si="4"/>
        <v>-190.13400000000001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1127.7182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0</v>
      </c>
      <c r="H56" s="43">
        <f t="shared" si="13"/>
        <v>0</v>
      </c>
      <c r="I56" s="43">
        <f t="shared" si="13"/>
        <v>4.567</v>
      </c>
      <c r="J56" s="43">
        <f t="shared" si="13"/>
        <v>0</v>
      </c>
      <c r="K56" s="43">
        <f t="shared" si="13"/>
        <v>18.147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119.576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1.41</v>
      </c>
      <c r="W56" s="43">
        <f t="shared" si="13"/>
        <v>0</v>
      </c>
      <c r="X56" s="43">
        <f t="shared" si="13"/>
        <v>0</v>
      </c>
      <c r="Y56" s="43">
        <f t="shared" si="13"/>
        <v>12.143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184.043</v>
      </c>
      <c r="AD56" s="43">
        <f t="shared" si="13"/>
        <v>0</v>
      </c>
      <c r="AE56" s="43">
        <f t="shared" si="13"/>
        <v>-0.048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339.838</v>
      </c>
      <c r="AK56" s="41">
        <f t="shared" si="4"/>
        <v>-787.8802000000001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603.851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>
        <v>114.25</v>
      </c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>
        <v>177.595</v>
      </c>
      <c r="AD57" s="22"/>
      <c r="AE57" s="22"/>
      <c r="AF57" s="22"/>
      <c r="AG57" s="22"/>
      <c r="AH57" s="17"/>
      <c r="AI57" s="17"/>
      <c r="AJ57" s="17">
        <f>SUM(D57:AI57)</f>
        <v>291.845</v>
      </c>
      <c r="AK57" s="41">
        <f t="shared" si="4"/>
        <v>-312.006</v>
      </c>
    </row>
    <row r="58" spans="2:37" ht="15.75">
      <c r="B58" s="44" t="s">
        <v>28</v>
      </c>
      <c r="C58" s="45">
        <v>0.0012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-0.0012</v>
      </c>
    </row>
    <row r="59" spans="2:37" ht="15.75">
      <c r="B59" s="44" t="s">
        <v>22</v>
      </c>
      <c r="C59" s="45">
        <v>133.385</v>
      </c>
      <c r="D59" s="45"/>
      <c r="E59" s="17"/>
      <c r="F59" s="17"/>
      <c r="G59" s="17"/>
      <c r="H59" s="17"/>
      <c r="I59" s="17">
        <v>3.439</v>
      </c>
      <c r="J59" s="17"/>
      <c r="K59" s="17"/>
      <c r="L59" s="17"/>
      <c r="M59" s="17"/>
      <c r="N59" s="22"/>
      <c r="O59" s="17">
        <v>4.47</v>
      </c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>
        <v>0.657</v>
      </c>
      <c r="AD59" s="22"/>
      <c r="AE59" s="22">
        <v>-0.048</v>
      </c>
      <c r="AF59" s="22"/>
      <c r="AG59" s="22"/>
      <c r="AH59" s="17"/>
      <c r="AI59" s="17"/>
      <c r="AJ59" s="17">
        <f>SUM(D59:AI59)</f>
        <v>8.517999999999999</v>
      </c>
      <c r="AK59" s="41">
        <f t="shared" si="4"/>
        <v>-124.86699999999999</v>
      </c>
    </row>
    <row r="60" spans="2:37" ht="15.75">
      <c r="B60" s="44" t="s">
        <v>34</v>
      </c>
      <c r="C60" s="45">
        <v>78.726</v>
      </c>
      <c r="D60" s="45"/>
      <c r="E60" s="17"/>
      <c r="F60" s="17"/>
      <c r="G60" s="17"/>
      <c r="H60" s="17"/>
      <c r="I60" s="17"/>
      <c r="J60" s="17"/>
      <c r="K60" s="17">
        <v>18.147</v>
      </c>
      <c r="L60" s="17"/>
      <c r="M60" s="17"/>
      <c r="N60" s="22"/>
      <c r="O60" s="17">
        <v>0</v>
      </c>
      <c r="P60" s="17"/>
      <c r="Q60" s="17"/>
      <c r="R60" s="17"/>
      <c r="S60" s="17"/>
      <c r="T60" s="17"/>
      <c r="U60" s="17"/>
      <c r="V60" s="17"/>
      <c r="W60" s="17"/>
      <c r="X60" s="17"/>
      <c r="Y60" s="17">
        <v>12.143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30.29</v>
      </c>
      <c r="AK60" s="41">
        <f t="shared" si="4"/>
        <v>-48.436</v>
      </c>
    </row>
    <row r="61" spans="2:37" ht="15.75">
      <c r="B61" s="44" t="s">
        <v>24</v>
      </c>
      <c r="C61" s="45">
        <v>311.755</v>
      </c>
      <c r="D61" s="45"/>
      <c r="E61" s="17"/>
      <c r="F61" s="17"/>
      <c r="G61" s="17"/>
      <c r="H61" s="17"/>
      <c r="I61" s="17">
        <v>1.128</v>
      </c>
      <c r="J61" s="17"/>
      <c r="K61" s="17"/>
      <c r="L61" s="17"/>
      <c r="M61" s="17"/>
      <c r="N61" s="17"/>
      <c r="O61" s="17">
        <v>0.856</v>
      </c>
      <c r="P61" s="17"/>
      <c r="Q61" s="17"/>
      <c r="R61" s="17"/>
      <c r="S61" s="17"/>
      <c r="T61" s="17"/>
      <c r="U61" s="17"/>
      <c r="V61" s="17">
        <v>1.41</v>
      </c>
      <c r="W61" s="17"/>
      <c r="X61" s="17"/>
      <c r="Y61" s="17"/>
      <c r="Z61" s="17"/>
      <c r="AA61" s="17"/>
      <c r="AB61" s="17"/>
      <c r="AC61" s="17">
        <v>5.791</v>
      </c>
      <c r="AD61" s="17"/>
      <c r="AE61" s="17"/>
      <c r="AF61" s="17"/>
      <c r="AG61" s="17"/>
      <c r="AH61" s="17"/>
      <c r="AI61" s="17"/>
      <c r="AJ61" s="17">
        <f>SUM(D61:AI61)</f>
        <v>9.185</v>
      </c>
      <c r="AK61" s="41">
        <f t="shared" si="4"/>
        <v>-302.57</v>
      </c>
    </row>
    <row r="62" spans="2:37" ht="29.25">
      <c r="B62" s="42" t="s">
        <v>48</v>
      </c>
      <c r="C62" s="43">
        <f>C63</f>
        <v>0</v>
      </c>
      <c r="D62" s="43">
        <f>D63</f>
        <v>0</v>
      </c>
      <c r="E62" s="43">
        <f>E63</f>
        <v>0</v>
      </c>
      <c r="F62" s="43">
        <f aca="true" t="shared" si="14" ref="F62:AI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 t="shared" si="14"/>
        <v>0</v>
      </c>
      <c r="AJ62" s="43">
        <f>AJ63</f>
        <v>0</v>
      </c>
      <c r="AK62" s="41">
        <f t="shared" si="4"/>
        <v>0</v>
      </c>
    </row>
    <row r="63" spans="2:37" ht="15.75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3637.076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762.681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596.428</v>
      </c>
      <c r="W66" s="43">
        <f t="shared" si="16"/>
        <v>4.262</v>
      </c>
      <c r="X66" s="43">
        <f t="shared" si="16"/>
        <v>0</v>
      </c>
      <c r="Y66" s="43">
        <f t="shared" si="16"/>
        <v>17.281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57.467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1438.1190000000001</v>
      </c>
      <c r="AK66" s="41">
        <f t="shared" si="4"/>
        <v>-2198.957</v>
      </c>
    </row>
    <row r="67" spans="2:37" ht="15.75">
      <c r="B67" s="56" t="s">
        <v>50</v>
      </c>
      <c r="C67" s="34">
        <v>523.01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>
        <v>3.53</v>
      </c>
      <c r="W67" s="22"/>
      <c r="X67" s="22"/>
      <c r="Y67" s="22"/>
      <c r="Z67" s="22"/>
      <c r="AA67" s="22"/>
      <c r="AB67" s="22"/>
      <c r="AC67" s="22">
        <v>57.467</v>
      </c>
      <c r="AD67" s="22"/>
      <c r="AE67" s="22"/>
      <c r="AF67" s="22"/>
      <c r="AG67" s="22"/>
      <c r="AH67" s="22"/>
      <c r="AI67" s="22"/>
      <c r="AJ67" s="22">
        <f>SUM(D67:AI67)</f>
        <v>60.997</v>
      </c>
      <c r="AK67" s="41">
        <f t="shared" si="4"/>
        <v>-462.013</v>
      </c>
    </row>
    <row r="68" spans="2:37" ht="15.75">
      <c r="B68" s="56" t="s">
        <v>34</v>
      </c>
      <c r="C68" s="34">
        <v>3114.066</v>
      </c>
      <c r="D68" s="34"/>
      <c r="E68" s="22"/>
      <c r="F68" s="22"/>
      <c r="G68" s="22"/>
      <c r="H68" s="22"/>
      <c r="I68" s="22">
        <v>762.681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>
        <v>592.898</v>
      </c>
      <c r="W68" s="22">
        <v>4.262</v>
      </c>
      <c r="X68" s="22"/>
      <c r="Y68" s="22">
        <v>17.281</v>
      </c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1377.122</v>
      </c>
      <c r="AK68" s="41">
        <f t="shared" si="4"/>
        <v>-1736.9439999999997</v>
      </c>
    </row>
    <row r="69" spans="2:37" ht="15.75">
      <c r="B69" s="42" t="s">
        <v>51</v>
      </c>
      <c r="C69" s="43">
        <f>C70+C71</f>
        <v>9.405000000000001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2.471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2.471</v>
      </c>
      <c r="AK69" s="41">
        <f t="shared" si="4"/>
        <v>-6.934000000000001</v>
      </c>
    </row>
    <row r="70" spans="2:37" ht="15.75">
      <c r="B70" s="44" t="s">
        <v>22</v>
      </c>
      <c r="C70" s="34">
        <v>6.79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2.471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2.471</v>
      </c>
      <c r="AK70" s="41">
        <f t="shared" si="4"/>
        <v>-4.319</v>
      </c>
    </row>
    <row r="71" spans="2:37" ht="15.75">
      <c r="B71" s="44" t="s">
        <v>34</v>
      </c>
      <c r="C71" s="34">
        <v>2.615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1913.3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-1913.3</v>
      </c>
      <c r="AL73" s="26"/>
    </row>
    <row r="74" spans="2:49" s="26" customFormat="1" ht="15.75">
      <c r="B74" s="56" t="s">
        <v>50</v>
      </c>
      <c r="C74" s="34">
        <v>1913.3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-1913.3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177.3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-177.3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56</v>
      </c>
      <c r="C77" s="43">
        <v>8.607</v>
      </c>
      <c r="D77" s="43"/>
      <c r="E77" s="43"/>
      <c r="F77" s="43"/>
      <c r="G77" s="43"/>
      <c r="H77" s="43"/>
      <c r="I77" s="43">
        <v>8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8</v>
      </c>
      <c r="AK77" s="41">
        <f t="shared" si="4"/>
        <v>-0.6069999999999993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268.421</v>
      </c>
      <c r="D78" s="43"/>
      <c r="E78" s="43"/>
      <c r="F78" s="43"/>
      <c r="G78" s="43"/>
      <c r="H78" s="43"/>
      <c r="I78" s="43"/>
      <c r="J78" s="43"/>
      <c r="K78" s="43">
        <v>1.054</v>
      </c>
      <c r="L78" s="43"/>
      <c r="M78" s="43"/>
      <c r="N78" s="43"/>
      <c r="O78" s="43"/>
      <c r="P78" s="43">
        <v>59.343</v>
      </c>
      <c r="Q78" s="43"/>
      <c r="R78" s="43"/>
      <c r="S78" s="43"/>
      <c r="T78" s="43"/>
      <c r="U78" s="43"/>
      <c r="V78" s="43"/>
      <c r="W78" s="43"/>
      <c r="X78" s="43"/>
      <c r="Y78" s="43">
        <v>100.307</v>
      </c>
      <c r="Z78" s="43"/>
      <c r="AA78" s="43"/>
      <c r="AB78" s="43"/>
      <c r="AC78" s="43">
        <v>2.102</v>
      </c>
      <c r="AD78" s="43"/>
      <c r="AE78" s="43"/>
      <c r="AF78" s="43"/>
      <c r="AG78" s="43"/>
      <c r="AH78" s="43"/>
      <c r="AI78" s="43"/>
      <c r="AJ78" s="43">
        <f t="shared" si="19"/>
        <v>162.806</v>
      </c>
      <c r="AK78" s="41">
        <f t="shared" si="4"/>
        <v>-105.61499999999998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125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-125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30.75" customHeight="1">
      <c r="B83" s="42" t="s">
        <v>76</v>
      </c>
      <c r="C83" s="43">
        <v>501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450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450</v>
      </c>
      <c r="AK83" s="41">
        <f t="shared" si="20"/>
        <v>-51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/>
      <c r="E85" s="43"/>
      <c r="F85" s="43"/>
      <c r="G85" s="43"/>
      <c r="H85" s="43">
        <v>435.827</v>
      </c>
      <c r="I85" s="43">
        <v>616.94</v>
      </c>
      <c r="J85" s="43"/>
      <c r="K85" s="43">
        <f>-50.838+247.987</f>
        <v>197.149</v>
      </c>
      <c r="L85" s="43"/>
      <c r="M85" s="43"/>
      <c r="N85" s="43"/>
      <c r="O85" s="43">
        <v>180</v>
      </c>
      <c r="P85" s="43"/>
      <c r="Q85" s="43"/>
      <c r="R85" s="43">
        <v>907.303</v>
      </c>
      <c r="S85" s="43"/>
      <c r="T85" s="43"/>
      <c r="U85" s="43"/>
      <c r="V85" s="43">
        <v>41.458</v>
      </c>
      <c r="W85" s="43">
        <v>9.49</v>
      </c>
      <c r="X85" s="43"/>
      <c r="Y85" s="43">
        <f>32.619+24.536</f>
        <v>57.155</v>
      </c>
      <c r="Z85" s="43"/>
      <c r="AA85" s="43"/>
      <c r="AB85" s="43"/>
      <c r="AC85" s="43">
        <v>669.923</v>
      </c>
      <c r="AD85" s="43"/>
      <c r="AE85" s="43">
        <v>-148</v>
      </c>
      <c r="AF85" s="43">
        <v>-1.102</v>
      </c>
      <c r="AG85" s="43"/>
      <c r="AH85" s="43"/>
      <c r="AI85" s="43"/>
      <c r="AJ85" s="43">
        <f t="shared" si="19"/>
        <v>2966.143</v>
      </c>
      <c r="AK85" s="41">
        <f t="shared" si="20"/>
        <v>2966.143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42436.710199999994</v>
      </c>
      <c r="D86" s="59">
        <f aca="true" t="shared" si="21" ref="D86:AJ86">SUM(D87:D93)</f>
        <v>0</v>
      </c>
      <c r="E86" s="59">
        <f t="shared" si="21"/>
        <v>0</v>
      </c>
      <c r="F86" s="59">
        <f t="shared" si="21"/>
        <v>0</v>
      </c>
      <c r="G86" s="59">
        <f t="shared" si="21"/>
        <v>0</v>
      </c>
      <c r="H86" s="59">
        <f t="shared" si="21"/>
        <v>467.913</v>
      </c>
      <c r="I86" s="59">
        <f t="shared" si="21"/>
        <v>1718.67</v>
      </c>
      <c r="J86" s="59">
        <f t="shared" si="21"/>
        <v>0</v>
      </c>
      <c r="K86" s="59">
        <f t="shared" si="21"/>
        <v>1280.1789999999999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655.045</v>
      </c>
      <c r="P86" s="59">
        <f t="shared" si="21"/>
        <v>4414.744</v>
      </c>
      <c r="Q86" s="59">
        <f t="shared" si="21"/>
        <v>0</v>
      </c>
      <c r="R86" s="59">
        <f t="shared" si="21"/>
        <v>2331.8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701.2330000000001</v>
      </c>
      <c r="W86" s="59">
        <f t="shared" si="21"/>
        <v>68.936</v>
      </c>
      <c r="X86" s="59">
        <f t="shared" si="21"/>
        <v>0</v>
      </c>
      <c r="Y86" s="59">
        <f t="shared" si="21"/>
        <v>3559.6929699999996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5638.586</v>
      </c>
      <c r="AD86" s="59">
        <f t="shared" si="21"/>
        <v>119.83</v>
      </c>
      <c r="AE86" s="59">
        <f t="shared" si="21"/>
        <v>-160.482</v>
      </c>
      <c r="AF86" s="59">
        <f t="shared" si="21"/>
        <v>-1.102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20795.044970000003</v>
      </c>
      <c r="AK86" s="41">
        <f t="shared" si="20"/>
        <v>-21641.66522999999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21482.155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0</v>
      </c>
      <c r="G87" s="45">
        <f t="shared" si="22"/>
        <v>0</v>
      </c>
      <c r="H87" s="45">
        <f t="shared" si="22"/>
        <v>19.664</v>
      </c>
      <c r="I87" s="45">
        <f t="shared" si="22"/>
        <v>31.43</v>
      </c>
      <c r="J87" s="45">
        <f t="shared" si="22"/>
        <v>0</v>
      </c>
      <c r="K87" s="45">
        <f t="shared" si="22"/>
        <v>980.549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459.87</v>
      </c>
      <c r="P87" s="45">
        <f t="shared" si="22"/>
        <v>4036.0860000000002</v>
      </c>
      <c r="Q87" s="45">
        <f t="shared" si="22"/>
        <v>0</v>
      </c>
      <c r="R87" s="45">
        <f t="shared" si="22"/>
        <v>673.391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6.529</v>
      </c>
      <c r="X87" s="45">
        <f t="shared" si="22"/>
        <v>0</v>
      </c>
      <c r="Y87" s="45">
        <f t="shared" si="22"/>
        <v>3309.602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4863.612</v>
      </c>
      <c r="AD87" s="45">
        <f t="shared" si="22"/>
        <v>117.073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14497.806</v>
      </c>
      <c r="AK87" s="41">
        <f t="shared" si="20"/>
        <v>-6984.348999999998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23.576200000000004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3.316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3.316</v>
      </c>
      <c r="AK88" s="41">
        <f t="shared" si="20"/>
        <v>-20.260200000000005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2152.976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-2152.976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4673.648999999999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0</v>
      </c>
      <c r="G90" s="45">
        <f t="shared" si="25"/>
        <v>0</v>
      </c>
      <c r="H90" s="45">
        <f t="shared" si="25"/>
        <v>11.126999999999999</v>
      </c>
      <c r="I90" s="45">
        <f t="shared" si="25"/>
        <v>28.168</v>
      </c>
      <c r="J90" s="45">
        <f t="shared" si="25"/>
        <v>0</v>
      </c>
      <c r="K90" s="45">
        <f t="shared" si="25"/>
        <v>36.04899999999999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9.71</v>
      </c>
      <c r="P90" s="45">
        <f t="shared" si="25"/>
        <v>32.711</v>
      </c>
      <c r="Q90" s="45">
        <f t="shared" si="25"/>
        <v>0</v>
      </c>
      <c r="R90" s="45">
        <f t="shared" si="25"/>
        <v>12.671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19.9</v>
      </c>
      <c r="W90" s="45">
        <f t="shared" si="25"/>
        <v>16.358</v>
      </c>
      <c r="X90" s="45">
        <f t="shared" si="25"/>
        <v>0</v>
      </c>
      <c r="Y90" s="45">
        <f t="shared" si="25"/>
        <v>10.294970000000001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5.434000000000001</v>
      </c>
      <c r="AD90" s="45">
        <f t="shared" si="25"/>
        <v>0</v>
      </c>
      <c r="AE90" s="45">
        <f t="shared" si="25"/>
        <v>-0.14800000000000002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182.27497</v>
      </c>
      <c r="AK90" s="41">
        <f t="shared" si="20"/>
        <v>-4491.374029999999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177.3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-177.3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4728.325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0</v>
      </c>
      <c r="G92" s="45">
        <f t="shared" si="27"/>
        <v>0</v>
      </c>
      <c r="H92" s="45">
        <f t="shared" si="27"/>
        <v>0</v>
      </c>
      <c r="I92" s="45">
        <f t="shared" si="27"/>
        <v>1023.6020000000001</v>
      </c>
      <c r="J92" s="45">
        <f t="shared" si="27"/>
        <v>0</v>
      </c>
      <c r="K92" s="45">
        <f t="shared" si="27"/>
        <v>45.885000000000005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179.251</v>
      </c>
      <c r="Q92" s="45">
        <f t="shared" si="27"/>
        <v>0</v>
      </c>
      <c r="R92" s="45">
        <f t="shared" si="27"/>
        <v>450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597.498</v>
      </c>
      <c r="W92" s="45">
        <f t="shared" si="27"/>
        <v>4.262</v>
      </c>
      <c r="X92" s="45">
        <f t="shared" si="27"/>
        <v>0</v>
      </c>
      <c r="Y92" s="45">
        <f t="shared" si="27"/>
        <v>130.975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2.102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2433.5750000000003</v>
      </c>
      <c r="AK92" s="41">
        <f t="shared" si="20"/>
        <v>-2294.7499999999995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9198.729</v>
      </c>
      <c r="D93" s="45">
        <f aca="true" t="shared" si="28" ref="D93:AG93">D22+D28+D32+D33+D34+D40+D44+D48+D55+D61+D74+D79+D80+D85+D67+D77+D75+D35+D72</f>
        <v>0</v>
      </c>
      <c r="E93" s="45">
        <f t="shared" si="28"/>
        <v>0</v>
      </c>
      <c r="F93" s="45">
        <f t="shared" si="28"/>
        <v>0</v>
      </c>
      <c r="G93" s="45">
        <f t="shared" si="28"/>
        <v>0</v>
      </c>
      <c r="H93" s="45">
        <f t="shared" si="28"/>
        <v>437.122</v>
      </c>
      <c r="I93" s="45">
        <f t="shared" si="28"/>
        <v>635.47</v>
      </c>
      <c r="J93" s="45">
        <f t="shared" si="28"/>
        <v>0</v>
      </c>
      <c r="K93" s="45">
        <f t="shared" si="28"/>
        <v>217.696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185.465</v>
      </c>
      <c r="P93" s="45">
        <f t="shared" si="28"/>
        <v>166.696</v>
      </c>
      <c r="Q93" s="45">
        <f t="shared" si="28"/>
        <v>0</v>
      </c>
      <c r="R93" s="45">
        <f t="shared" si="28"/>
        <v>1195.738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83.835</v>
      </c>
      <c r="W93" s="45">
        <f t="shared" si="28"/>
        <v>41.787</v>
      </c>
      <c r="X93" s="45">
        <f t="shared" si="28"/>
        <v>0</v>
      </c>
      <c r="Y93" s="45">
        <f t="shared" si="28"/>
        <v>108.821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764.122</v>
      </c>
      <c r="AD93" s="45">
        <f t="shared" si="28"/>
        <v>2.7569999999999997</v>
      </c>
      <c r="AE93" s="45">
        <f t="shared" si="28"/>
        <v>-160.334</v>
      </c>
      <c r="AF93" s="45">
        <f t="shared" si="28"/>
        <v>-1.102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3678.073</v>
      </c>
      <c r="AK93" s="41">
        <f t="shared" si="20"/>
        <v>-5520.655999999999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>
        <f t="shared" si="29"/>
        <v>0</v>
      </c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>
        <f t="shared" si="29"/>
        <v>0</v>
      </c>
      <c r="K95" s="62">
        <f t="shared" si="29"/>
        <v>0</v>
      </c>
      <c r="L95" s="62">
        <f t="shared" si="29"/>
        <v>0</v>
      </c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>
        <f t="shared" si="29"/>
        <v>0</v>
      </c>
      <c r="R95" s="62">
        <f t="shared" si="29"/>
        <v>0</v>
      </c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>
        <f t="shared" si="29"/>
        <v>0</v>
      </c>
      <c r="Y95" s="62">
        <f t="shared" si="29"/>
        <v>0</v>
      </c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>
        <f t="shared" si="29"/>
        <v>0</v>
      </c>
      <c r="AF95" s="62">
        <f t="shared" si="29"/>
        <v>0</v>
      </c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zoomScale="70" zoomScaleNormal="70" zoomScaleSheetLayoutView="70" zoomScalePageLayoutView="0" workbookViewId="0" topLeftCell="B1">
      <pane xSplit="2" ySplit="5" topLeftCell="Q14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95" sqref="N9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8.140625" style="5" customWidth="1"/>
    <col min="9" max="9" width="3.8515625" style="5" customWidth="1"/>
    <col min="10" max="10" width="4.140625" style="5" customWidth="1"/>
    <col min="11" max="11" width="3.57421875" style="5" customWidth="1"/>
    <col min="12" max="12" width="8.140625" style="5" customWidth="1"/>
    <col min="13" max="13" width="9.00390625" style="63" customWidth="1"/>
    <col min="14" max="14" width="8.00390625" style="5" customWidth="1"/>
    <col min="15" max="15" width="9.28125" style="5" customWidth="1"/>
    <col min="16" max="16" width="4.421875" style="5" customWidth="1"/>
    <col min="17" max="17" width="4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2" width="7.57421875" style="5" customWidth="1"/>
    <col min="23" max="23" width="3.57421875" style="5" customWidth="1"/>
    <col min="24" max="24" width="3.7109375" style="5" customWidth="1"/>
    <col min="25" max="25" width="8.421875" style="5" customWidth="1"/>
    <col min="26" max="26" width="7.00390625" style="5" customWidth="1"/>
    <col min="27" max="27" width="6.8515625" style="5" customWidth="1"/>
    <col min="28" max="28" width="9.00390625" style="5" customWidth="1"/>
    <col min="29" max="29" width="8.7109375" style="5" customWidth="1"/>
    <col min="30" max="30" width="4.7109375" style="5" customWidth="1"/>
    <col min="31" max="31" width="4.28125" style="5" customWidth="1"/>
    <col min="32" max="32" width="6.140625" style="5" customWidth="1"/>
    <col min="33" max="33" width="8.7109375" style="5" customWidth="1"/>
    <col min="34" max="34" width="4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78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77.2</v>
      </c>
      <c r="D6" s="15">
        <f>SUM(E6:AI6)</f>
        <v>77.2</v>
      </c>
      <c r="E6" s="16"/>
      <c r="F6" s="17"/>
      <c r="G6" s="18"/>
      <c r="H6" s="17">
        <v>77.2</v>
      </c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10550</v>
      </c>
      <c r="D7" s="15">
        <v>5275</v>
      </c>
      <c r="E7" s="21"/>
      <c r="F7" s="17"/>
      <c r="G7" s="17"/>
      <c r="H7" s="17"/>
      <c r="I7" s="17"/>
      <c r="J7" s="17"/>
      <c r="K7" s="17"/>
      <c r="L7" s="17"/>
      <c r="M7" s="50"/>
      <c r="N7" s="22">
        <v>5275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19830.8</v>
      </c>
      <c r="D8" s="25">
        <f aca="true" t="shared" si="0" ref="D8:AH8">SUM(D9:D16)</f>
        <v>305.99999999999994</v>
      </c>
      <c r="E8" s="25">
        <f t="shared" si="0"/>
        <v>217</v>
      </c>
      <c r="F8" s="25">
        <f t="shared" si="0"/>
        <v>663.9</v>
      </c>
      <c r="G8" s="25">
        <f t="shared" si="0"/>
        <v>1756.3000000000002</v>
      </c>
      <c r="H8" s="25">
        <f t="shared" si="0"/>
        <v>1868.2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828.4000000000001</v>
      </c>
      <c r="M8" s="25">
        <f t="shared" si="0"/>
        <v>356.7</v>
      </c>
      <c r="N8" s="25">
        <f t="shared" si="0"/>
        <v>1092.4999999999998</v>
      </c>
      <c r="O8" s="25">
        <f t="shared" si="0"/>
        <v>888.3000000000001</v>
      </c>
      <c r="P8" s="25">
        <f t="shared" si="0"/>
        <v>0</v>
      </c>
      <c r="Q8" s="25">
        <f t="shared" si="0"/>
        <v>0</v>
      </c>
      <c r="R8" s="25">
        <f t="shared" si="0"/>
        <v>1104.4</v>
      </c>
      <c r="S8" s="25">
        <f t="shared" si="0"/>
        <v>432</v>
      </c>
      <c r="T8" s="25">
        <f t="shared" si="0"/>
        <v>355.8</v>
      </c>
      <c r="U8" s="25">
        <f>SUM(U9:U16)</f>
        <v>616.0000000000001</v>
      </c>
      <c r="V8" s="25">
        <f>SUM(V9:V16)</f>
        <v>1620.4</v>
      </c>
      <c r="W8" s="25">
        <f>SUM(W9:W16)</f>
        <v>0</v>
      </c>
      <c r="X8" s="25">
        <f t="shared" si="0"/>
        <v>0</v>
      </c>
      <c r="Y8" s="25">
        <f t="shared" si="0"/>
        <v>871</v>
      </c>
      <c r="Z8" s="25">
        <f t="shared" si="0"/>
        <v>679.0999999999999</v>
      </c>
      <c r="AA8" s="25">
        <f t="shared" si="0"/>
        <v>981.2</v>
      </c>
      <c r="AB8" s="25">
        <f t="shared" si="0"/>
        <v>1473.1</v>
      </c>
      <c r="AC8" s="25">
        <f t="shared" si="0"/>
        <v>2588.4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1132.0999999999997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11069.3</v>
      </c>
      <c r="D9" s="82">
        <v>106.1</v>
      </c>
      <c r="E9" s="29">
        <v>112.5</v>
      </c>
      <c r="F9" s="22">
        <v>74.6</v>
      </c>
      <c r="G9" s="22">
        <v>1614.4</v>
      </c>
      <c r="H9" s="22">
        <v>1536.5</v>
      </c>
      <c r="I9" s="22"/>
      <c r="J9" s="22"/>
      <c r="K9" s="22"/>
      <c r="L9" s="22">
        <v>301.3</v>
      </c>
      <c r="M9" s="22">
        <v>118.9</v>
      </c>
      <c r="N9" s="22">
        <v>825.8</v>
      </c>
      <c r="O9" s="22">
        <v>525.3</v>
      </c>
      <c r="P9" s="22"/>
      <c r="Q9" s="22"/>
      <c r="R9" s="22">
        <v>636.9</v>
      </c>
      <c r="S9" s="22">
        <v>121</v>
      </c>
      <c r="T9" s="22">
        <v>87.6</v>
      </c>
      <c r="U9" s="22">
        <v>295.1</v>
      </c>
      <c r="V9" s="22">
        <v>1128.2</v>
      </c>
      <c r="W9" s="22"/>
      <c r="X9" s="22"/>
      <c r="Y9" s="22">
        <v>535.8</v>
      </c>
      <c r="Z9" s="30">
        <v>257.1</v>
      </c>
      <c r="AA9" s="30">
        <v>410.4</v>
      </c>
      <c r="AB9" s="22">
        <v>907.8</v>
      </c>
      <c r="AC9" s="30">
        <v>1024</v>
      </c>
      <c r="AD9" s="22"/>
      <c r="AE9" s="22"/>
      <c r="AF9" s="22"/>
      <c r="AG9" s="22">
        <v>450</v>
      </c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0</v>
      </c>
      <c r="D10" s="82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1481.4</v>
      </c>
      <c r="D11" s="82">
        <v>49</v>
      </c>
      <c r="E11" s="29">
        <v>31.5</v>
      </c>
      <c r="F11" s="22">
        <v>38.1</v>
      </c>
      <c r="G11" s="22">
        <v>23.5</v>
      </c>
      <c r="H11" s="22">
        <v>39.8</v>
      </c>
      <c r="I11" s="22"/>
      <c r="J11" s="22"/>
      <c r="K11" s="22"/>
      <c r="L11" s="22">
        <v>121.5</v>
      </c>
      <c r="M11" s="22">
        <v>38.4</v>
      </c>
      <c r="N11" s="22">
        <v>34.8</v>
      </c>
      <c r="O11" s="22">
        <v>31.2</v>
      </c>
      <c r="P11" s="22"/>
      <c r="Q11" s="22"/>
      <c r="R11" s="22">
        <v>85.2</v>
      </c>
      <c r="S11" s="22">
        <v>110.9</v>
      </c>
      <c r="T11" s="22">
        <v>29.1</v>
      </c>
      <c r="U11" s="22">
        <v>37.3</v>
      </c>
      <c r="V11" s="22">
        <v>65.8</v>
      </c>
      <c r="W11" s="22"/>
      <c r="X11" s="22"/>
      <c r="Y11" s="22">
        <v>82.5</v>
      </c>
      <c r="Z11" s="30">
        <v>53.9</v>
      </c>
      <c r="AA11" s="30">
        <v>168.3</v>
      </c>
      <c r="AB11" s="22">
        <v>47.3</v>
      </c>
      <c r="AC11" s="30">
        <v>113.9</v>
      </c>
      <c r="AD11" s="22"/>
      <c r="AE11" s="22"/>
      <c r="AF11" s="22"/>
      <c r="AG11" s="22">
        <v>279.4</v>
      </c>
      <c r="AH11" s="22"/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1710.5000000000002</v>
      </c>
      <c r="D12" s="82">
        <v>50.4</v>
      </c>
      <c r="E12" s="29">
        <v>28.5</v>
      </c>
      <c r="F12" s="22">
        <v>51.1</v>
      </c>
      <c r="G12" s="22">
        <v>43</v>
      </c>
      <c r="H12" s="22">
        <v>50.2</v>
      </c>
      <c r="I12" s="22"/>
      <c r="J12" s="22"/>
      <c r="K12" s="22"/>
      <c r="L12" s="22">
        <v>238.4</v>
      </c>
      <c r="M12" s="22">
        <v>89.3</v>
      </c>
      <c r="N12" s="22">
        <v>112.7</v>
      </c>
      <c r="O12" s="22">
        <v>125.2</v>
      </c>
      <c r="P12" s="22"/>
      <c r="Q12" s="22"/>
      <c r="R12" s="22">
        <v>135.8</v>
      </c>
      <c r="S12" s="22">
        <v>58</v>
      </c>
      <c r="T12" s="22">
        <v>71.9</v>
      </c>
      <c r="U12" s="22">
        <v>76.3</v>
      </c>
      <c r="V12" s="22">
        <v>59.2</v>
      </c>
      <c r="W12" s="22"/>
      <c r="X12" s="22"/>
      <c r="Y12" s="22">
        <v>122.6</v>
      </c>
      <c r="Z12" s="30">
        <v>76.9</v>
      </c>
      <c r="AA12" s="30">
        <v>73.6</v>
      </c>
      <c r="AB12" s="22">
        <v>134.8</v>
      </c>
      <c r="AC12" s="30">
        <v>81.7</v>
      </c>
      <c r="AD12" s="22"/>
      <c r="AE12" s="22"/>
      <c r="AF12" s="22"/>
      <c r="AG12" s="22">
        <v>30.9</v>
      </c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3774.9</v>
      </c>
      <c r="D13" s="82">
        <v>47.1</v>
      </c>
      <c r="E13" s="29">
        <v>41.6</v>
      </c>
      <c r="F13" s="22">
        <v>444.7</v>
      </c>
      <c r="G13" s="22">
        <v>46.3</v>
      </c>
      <c r="H13" s="22">
        <v>115.4</v>
      </c>
      <c r="I13" s="22"/>
      <c r="J13" s="22"/>
      <c r="K13" s="22"/>
      <c r="L13" s="22">
        <v>91.7</v>
      </c>
      <c r="M13" s="22">
        <v>51.5</v>
      </c>
      <c r="N13" s="22">
        <v>74.3</v>
      </c>
      <c r="O13" s="22">
        <v>65.1</v>
      </c>
      <c r="P13" s="22"/>
      <c r="Q13" s="22"/>
      <c r="R13" s="22">
        <v>33</v>
      </c>
      <c r="S13" s="22">
        <v>38.6</v>
      </c>
      <c r="T13" s="22">
        <v>44</v>
      </c>
      <c r="U13" s="22">
        <v>52.1</v>
      </c>
      <c r="V13" s="22">
        <v>216</v>
      </c>
      <c r="W13" s="22"/>
      <c r="X13" s="22"/>
      <c r="Y13" s="22">
        <v>81.5</v>
      </c>
      <c r="Z13" s="30">
        <v>198.2</v>
      </c>
      <c r="AA13" s="30">
        <v>303.9</v>
      </c>
      <c r="AB13" s="22">
        <v>348.3</v>
      </c>
      <c r="AC13" s="22">
        <v>1213.7</v>
      </c>
      <c r="AD13" s="22"/>
      <c r="AE13" s="22"/>
      <c r="AF13" s="22"/>
      <c r="AG13" s="22">
        <v>267.9</v>
      </c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1241.1999999999998</v>
      </c>
      <c r="D14" s="82">
        <v>25.6</v>
      </c>
      <c r="E14" s="29">
        <v>18</v>
      </c>
      <c r="F14" s="22">
        <v>32.6</v>
      </c>
      <c r="G14" s="22">
        <v>16.8</v>
      </c>
      <c r="H14" s="22">
        <v>111.3</v>
      </c>
      <c r="I14" s="22"/>
      <c r="J14" s="22"/>
      <c r="K14" s="22"/>
      <c r="L14" s="22">
        <v>62.5</v>
      </c>
      <c r="M14" s="22">
        <v>34.5</v>
      </c>
      <c r="N14" s="22">
        <v>31.3</v>
      </c>
      <c r="O14" s="22">
        <v>107.3</v>
      </c>
      <c r="P14" s="22"/>
      <c r="Q14" s="22"/>
      <c r="R14" s="22">
        <v>162.2</v>
      </c>
      <c r="S14" s="22">
        <v>81.3</v>
      </c>
      <c r="T14" s="22">
        <v>104.2</v>
      </c>
      <c r="U14" s="22">
        <v>122</v>
      </c>
      <c r="V14" s="22">
        <v>134.4</v>
      </c>
      <c r="W14" s="22"/>
      <c r="X14" s="22"/>
      <c r="Y14" s="22">
        <v>32.1</v>
      </c>
      <c r="Z14" s="30">
        <v>23.7</v>
      </c>
      <c r="AA14" s="30">
        <v>6</v>
      </c>
      <c r="AB14" s="22">
        <v>21.2</v>
      </c>
      <c r="AC14" s="30">
        <v>37.6</v>
      </c>
      <c r="AD14" s="22"/>
      <c r="AE14" s="22"/>
      <c r="AF14" s="22"/>
      <c r="AG14" s="22">
        <v>76.6</v>
      </c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187.00000000000003</v>
      </c>
      <c r="D15" s="82">
        <v>17.4</v>
      </c>
      <c r="E15" s="29">
        <v>5.3</v>
      </c>
      <c r="F15" s="22">
        <v>3.9</v>
      </c>
      <c r="G15" s="22">
        <v>4.9</v>
      </c>
      <c r="H15" s="22">
        <v>6.7</v>
      </c>
      <c r="I15" s="22"/>
      <c r="J15" s="22"/>
      <c r="K15" s="22"/>
      <c r="L15" s="22">
        <v>4.2</v>
      </c>
      <c r="M15" s="22">
        <v>16.9</v>
      </c>
      <c r="N15" s="22">
        <v>6.6</v>
      </c>
      <c r="O15" s="22">
        <v>17</v>
      </c>
      <c r="P15" s="22"/>
      <c r="Q15" s="22"/>
      <c r="R15" s="22">
        <v>6.7</v>
      </c>
      <c r="S15" s="22">
        <v>11.4</v>
      </c>
      <c r="T15" s="22">
        <v>9.8</v>
      </c>
      <c r="U15" s="22">
        <v>8.7</v>
      </c>
      <c r="V15" s="22">
        <v>7.5</v>
      </c>
      <c r="W15" s="22"/>
      <c r="X15" s="22"/>
      <c r="Y15" s="22">
        <v>9.2</v>
      </c>
      <c r="Z15" s="30">
        <v>4.3</v>
      </c>
      <c r="AA15" s="30">
        <v>14.9</v>
      </c>
      <c r="AB15" s="22">
        <v>6.4</v>
      </c>
      <c r="AC15" s="30">
        <v>12.5</v>
      </c>
      <c r="AD15" s="22"/>
      <c r="AE15" s="22"/>
      <c r="AF15" s="22"/>
      <c r="AG15" s="22">
        <v>12.7</v>
      </c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366.50000000000006</v>
      </c>
      <c r="D16" s="82">
        <v>10.4</v>
      </c>
      <c r="E16" s="29">
        <v>-20.4</v>
      </c>
      <c r="F16" s="22">
        <v>18.9</v>
      </c>
      <c r="G16" s="22">
        <v>7.4</v>
      </c>
      <c r="H16" s="22">
        <v>8.3</v>
      </c>
      <c r="I16" s="22"/>
      <c r="J16" s="22"/>
      <c r="K16" s="22"/>
      <c r="L16" s="22">
        <v>8.8</v>
      </c>
      <c r="M16" s="22">
        <v>7.2</v>
      </c>
      <c r="N16" s="22">
        <v>7</v>
      </c>
      <c r="O16" s="22">
        <v>17.2</v>
      </c>
      <c r="P16" s="22"/>
      <c r="Q16" s="22"/>
      <c r="R16" s="22">
        <v>44.6</v>
      </c>
      <c r="S16" s="22">
        <v>10.8</v>
      </c>
      <c r="T16" s="22">
        <v>9.2</v>
      </c>
      <c r="U16" s="22">
        <v>24.5</v>
      </c>
      <c r="V16" s="22">
        <v>9.3</v>
      </c>
      <c r="W16" s="22"/>
      <c r="X16" s="22"/>
      <c r="Y16" s="22">
        <v>7.3</v>
      </c>
      <c r="Z16" s="30">
        <v>65</v>
      </c>
      <c r="AA16" s="30">
        <v>4.1</v>
      </c>
      <c r="AB16" s="22">
        <v>7.3</v>
      </c>
      <c r="AC16" s="30">
        <v>105</v>
      </c>
      <c r="AD16" s="22"/>
      <c r="AE16" s="22"/>
      <c r="AF16" s="22"/>
      <c r="AG16" s="22">
        <v>14.6</v>
      </c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30535.2</v>
      </c>
      <c r="D17" s="38">
        <f>SUM(D6:D8)</f>
        <v>5658.2</v>
      </c>
      <c r="E17" s="38">
        <f aca="true" t="shared" si="2" ref="E17:AH17">SUM(E6:E8)</f>
        <v>217</v>
      </c>
      <c r="F17" s="38">
        <f t="shared" si="2"/>
        <v>663.9</v>
      </c>
      <c r="G17" s="38">
        <f t="shared" si="2"/>
        <v>1756.3000000000002</v>
      </c>
      <c r="H17" s="38">
        <f t="shared" si="2"/>
        <v>1945.4</v>
      </c>
      <c r="I17" s="38">
        <v>0</v>
      </c>
      <c r="J17" s="38">
        <f t="shared" si="2"/>
        <v>0</v>
      </c>
      <c r="K17" s="38">
        <f t="shared" si="2"/>
        <v>0</v>
      </c>
      <c r="L17" s="38">
        <f t="shared" si="2"/>
        <v>828.4000000000001</v>
      </c>
      <c r="M17" s="38">
        <f t="shared" si="2"/>
        <v>356.7</v>
      </c>
      <c r="N17" s="38">
        <f t="shared" si="2"/>
        <v>6367.5</v>
      </c>
      <c r="O17" s="38">
        <f t="shared" si="2"/>
        <v>888.3000000000001</v>
      </c>
      <c r="P17" s="38">
        <f t="shared" si="2"/>
        <v>0</v>
      </c>
      <c r="Q17" s="38">
        <f t="shared" si="2"/>
        <v>0</v>
      </c>
      <c r="R17" s="38">
        <f t="shared" si="2"/>
        <v>1104.4</v>
      </c>
      <c r="S17" s="38">
        <f t="shared" si="2"/>
        <v>432</v>
      </c>
      <c r="T17" s="38">
        <f t="shared" si="2"/>
        <v>355.8</v>
      </c>
      <c r="U17" s="38">
        <f t="shared" si="2"/>
        <v>616.0000000000001</v>
      </c>
      <c r="V17" s="38">
        <f t="shared" si="2"/>
        <v>1620.4</v>
      </c>
      <c r="W17" s="38">
        <f t="shared" si="2"/>
        <v>0</v>
      </c>
      <c r="X17" s="38">
        <f t="shared" si="2"/>
        <v>0</v>
      </c>
      <c r="Y17" s="38">
        <f t="shared" si="2"/>
        <v>871</v>
      </c>
      <c r="Z17" s="38">
        <f t="shared" si="2"/>
        <v>679.0999999999999</v>
      </c>
      <c r="AA17" s="38">
        <f t="shared" si="2"/>
        <v>981.2</v>
      </c>
      <c r="AB17" s="38">
        <f t="shared" si="2"/>
        <v>1473.1</v>
      </c>
      <c r="AC17" s="38">
        <f t="shared" si="2"/>
        <v>2588.4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1132.0999999999997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56146.04699999999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842.042</v>
      </c>
      <c r="F18" s="40">
        <f t="shared" si="3"/>
        <v>1382.782</v>
      </c>
      <c r="G18" s="40">
        <f t="shared" si="3"/>
        <v>0</v>
      </c>
      <c r="H18" s="40">
        <f t="shared" si="3"/>
        <v>488.338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53.861000000000004</v>
      </c>
      <c r="M18" s="40">
        <f t="shared" si="3"/>
        <v>9294.955999999998</v>
      </c>
      <c r="N18" s="40">
        <f t="shared" si="3"/>
        <v>0</v>
      </c>
      <c r="O18" s="40">
        <f t="shared" si="3"/>
        <v>3695.305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155.70999999999998</v>
      </c>
      <c r="T18" s="40">
        <f t="shared" si="3"/>
        <v>1675.084</v>
      </c>
      <c r="U18" s="40">
        <f t="shared" si="3"/>
        <v>0</v>
      </c>
      <c r="V18" s="40">
        <f t="shared" si="3"/>
        <v>156.775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5875.231999999999</v>
      </c>
      <c r="AA18" s="40">
        <f t="shared" si="3"/>
        <v>4106.964</v>
      </c>
      <c r="AB18" s="40">
        <f t="shared" si="3"/>
        <v>0</v>
      </c>
      <c r="AC18" s="40">
        <f t="shared" si="3"/>
        <v>-25.167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-55.766999999999996</v>
      </c>
      <c r="AH18" s="40">
        <f t="shared" si="3"/>
        <v>0</v>
      </c>
      <c r="AI18" s="40">
        <f t="shared" si="3"/>
        <v>0</v>
      </c>
      <c r="AJ18" s="40">
        <f t="shared" si="3"/>
        <v>27646.114999999998</v>
      </c>
      <c r="AK18" s="41">
        <f aca="true" t="shared" si="4" ref="AK18:AK82">AJ18-C18</f>
        <v>-28499.931999999993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7024.003</v>
      </c>
      <c r="D19" s="43">
        <f t="shared" si="5"/>
        <v>0</v>
      </c>
      <c r="E19" s="43">
        <f t="shared" si="5"/>
        <v>36.94</v>
      </c>
      <c r="F19" s="43">
        <f t="shared" si="5"/>
        <v>15.716000000000001</v>
      </c>
      <c r="G19" s="43">
        <f t="shared" si="5"/>
        <v>0</v>
      </c>
      <c r="H19" s="43">
        <f t="shared" si="5"/>
        <v>20.766000000000002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966.8100000000001</v>
      </c>
      <c r="N19" s="43">
        <f t="shared" si="5"/>
        <v>0</v>
      </c>
      <c r="O19" s="43">
        <f t="shared" si="5"/>
        <v>321.437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13.982</v>
      </c>
      <c r="T19" s="43">
        <f t="shared" si="5"/>
        <v>17.479</v>
      </c>
      <c r="U19" s="43">
        <f t="shared" si="5"/>
        <v>0</v>
      </c>
      <c r="V19" s="43">
        <f t="shared" si="5"/>
        <v>14.857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198.839</v>
      </c>
      <c r="AA19" s="43">
        <f t="shared" si="5"/>
        <v>1458.124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-12.44</v>
      </c>
      <c r="AH19" s="43">
        <f t="shared" si="5"/>
        <v>0</v>
      </c>
      <c r="AI19" s="43">
        <f t="shared" si="5"/>
        <v>0</v>
      </c>
      <c r="AJ19" s="43">
        <f>SUM(AJ20:AJ22)</f>
        <v>3052.51</v>
      </c>
      <c r="AK19" s="41">
        <f t="shared" si="4"/>
        <v>-3971.4929999999995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4258.641</v>
      </c>
      <c r="D20" s="45"/>
      <c r="E20" s="17"/>
      <c r="F20" s="17"/>
      <c r="G20" s="17"/>
      <c r="H20" s="17"/>
      <c r="I20" s="17"/>
      <c r="J20" s="17"/>
      <c r="K20" s="17"/>
      <c r="L20" s="17"/>
      <c r="M20" s="17">
        <v>956.482</v>
      </c>
      <c r="N20" s="22"/>
      <c r="O20" s="17">
        <v>287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198.839</v>
      </c>
      <c r="AA20" s="17">
        <f>645.01+794.696</f>
        <v>1439.7060000000001</v>
      </c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2882.027</v>
      </c>
      <c r="AK20" s="41">
        <f t="shared" si="4"/>
        <v>-1376.6139999999996</v>
      </c>
      <c r="AL20" s="7"/>
      <c r="AM20" s="66" t="s">
        <v>21</v>
      </c>
      <c r="AN20" s="67">
        <f>AJ19</f>
        <v>3052.51</v>
      </c>
      <c r="AO20" s="73"/>
      <c r="AP20" s="8"/>
    </row>
    <row r="21" spans="2:42" ht="15.75">
      <c r="B21" s="44" t="s">
        <v>22</v>
      </c>
      <c r="C21" s="45">
        <v>213.705</v>
      </c>
      <c r="D21" s="45"/>
      <c r="E21" s="17"/>
      <c r="F21" s="17">
        <v>8.198</v>
      </c>
      <c r="G21" s="17"/>
      <c r="H21" s="17">
        <v>3.96</v>
      </c>
      <c r="I21" s="17"/>
      <c r="J21" s="17"/>
      <c r="K21" s="17"/>
      <c r="L21" s="17"/>
      <c r="M21" s="17">
        <v>0.431</v>
      </c>
      <c r="N21" s="22"/>
      <c r="O21" s="17"/>
      <c r="P21" s="17"/>
      <c r="Q21" s="17"/>
      <c r="R21" s="17"/>
      <c r="S21" s="17">
        <v>0.311</v>
      </c>
      <c r="T21" s="17">
        <v>0.287</v>
      </c>
      <c r="U21" s="17"/>
      <c r="V21" s="17"/>
      <c r="W21" s="17"/>
      <c r="X21" s="17"/>
      <c r="Y21" s="17"/>
      <c r="Z21" s="17"/>
      <c r="AA21" s="17">
        <v>-0.843</v>
      </c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12.344000000000001</v>
      </c>
      <c r="AK21" s="41">
        <f t="shared" si="4"/>
        <v>-201.36100000000002</v>
      </c>
      <c r="AL21" s="7"/>
      <c r="AM21" s="66" t="s">
        <v>23</v>
      </c>
      <c r="AN21" s="67">
        <f>AJ23</f>
        <v>17634.994</v>
      </c>
      <c r="AO21" s="73"/>
      <c r="AP21" s="8"/>
    </row>
    <row r="22" spans="2:42" ht="15.75">
      <c r="B22" s="44" t="s">
        <v>24</v>
      </c>
      <c r="C22" s="45">
        <v>2551.657</v>
      </c>
      <c r="D22" s="45"/>
      <c r="E22" s="17">
        <v>36.94</v>
      </c>
      <c r="F22" s="17">
        <v>7.518</v>
      </c>
      <c r="G22" s="17"/>
      <c r="H22" s="17">
        <v>16.806</v>
      </c>
      <c r="I22" s="17"/>
      <c r="J22" s="17"/>
      <c r="K22" s="17"/>
      <c r="L22" s="17"/>
      <c r="M22" s="17">
        <f>6.13+3.767</f>
        <v>9.897</v>
      </c>
      <c r="N22" s="17"/>
      <c r="O22" s="17">
        <v>34.437</v>
      </c>
      <c r="P22" s="17"/>
      <c r="Q22" s="17"/>
      <c r="R22" s="17"/>
      <c r="S22" s="17">
        <v>13.671</v>
      </c>
      <c r="T22" s="17">
        <v>17.192</v>
      </c>
      <c r="U22" s="17"/>
      <c r="V22" s="17">
        <v>14.857</v>
      </c>
      <c r="W22" s="17"/>
      <c r="X22" s="17"/>
      <c r="Y22" s="17"/>
      <c r="Z22" s="17"/>
      <c r="AA22" s="17">
        <v>19.261</v>
      </c>
      <c r="AB22" s="17"/>
      <c r="AC22" s="17"/>
      <c r="AD22" s="17"/>
      <c r="AE22" s="17"/>
      <c r="AF22" s="17"/>
      <c r="AG22" s="17">
        <f>-11.36-1.08</f>
        <v>-12.44</v>
      </c>
      <c r="AH22" s="17"/>
      <c r="AI22" s="17"/>
      <c r="AJ22" s="17">
        <f>SUM(D22:AI22)</f>
        <v>158.139</v>
      </c>
      <c r="AK22" s="41">
        <f t="shared" si="4"/>
        <v>-2393.518</v>
      </c>
      <c r="AL22" s="7"/>
      <c r="AM22" s="66" t="s">
        <v>25</v>
      </c>
      <c r="AN22" s="67">
        <f>$AJ$29+$AJ$31</f>
        <v>67.01699999999998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34006.927</v>
      </c>
      <c r="D23" s="43">
        <f t="shared" si="6"/>
        <v>0</v>
      </c>
      <c r="E23" s="43">
        <f t="shared" si="6"/>
        <v>204.415</v>
      </c>
      <c r="F23" s="43">
        <f t="shared" si="6"/>
        <v>20.648</v>
      </c>
      <c r="G23" s="43">
        <f t="shared" si="6"/>
        <v>0</v>
      </c>
      <c r="H23" s="43">
        <f t="shared" si="6"/>
        <v>383.21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7440.540999999999</v>
      </c>
      <c r="N23" s="43">
        <f t="shared" si="6"/>
        <v>0</v>
      </c>
      <c r="O23" s="43">
        <f t="shared" si="6"/>
        <v>2826.891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76.39599999999999</v>
      </c>
      <c r="T23" s="43">
        <f t="shared" si="6"/>
        <v>25.16</v>
      </c>
      <c r="U23" s="43">
        <f t="shared" si="6"/>
        <v>0</v>
      </c>
      <c r="V23" s="43">
        <f t="shared" si="6"/>
        <v>22.665000000000003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5255.361</v>
      </c>
      <c r="AA23" s="43">
        <f t="shared" si="6"/>
        <v>1379.8500000000001</v>
      </c>
      <c r="AB23" s="43">
        <f t="shared" si="6"/>
        <v>0</v>
      </c>
      <c r="AC23" s="43">
        <f t="shared" si="6"/>
        <v>-0.143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17634.994</v>
      </c>
      <c r="AK23" s="41">
        <f t="shared" si="4"/>
        <v>-16371.933000000005</v>
      </c>
      <c r="AL23" s="2"/>
      <c r="AM23" s="66" t="s">
        <v>26</v>
      </c>
      <c r="AN23" s="67">
        <f>$AJ$32+$AJ$33+$AJ$36+$AJ$41+$AJ$45+$AJ$35+$AJ$34</f>
        <v>1099.043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24630.983</v>
      </c>
      <c r="D24" s="45"/>
      <c r="E24" s="17">
        <v>193.702</v>
      </c>
      <c r="F24" s="17">
        <v>9.454</v>
      </c>
      <c r="G24" s="17"/>
      <c r="H24" s="17">
        <f>53.498+307.871</f>
        <v>361.36899999999997</v>
      </c>
      <c r="I24" s="17"/>
      <c r="J24" s="17"/>
      <c r="K24" s="17"/>
      <c r="L24" s="17"/>
      <c r="M24" s="17">
        <f>2128.853+5261.65</f>
        <v>7390.503</v>
      </c>
      <c r="N24" s="22"/>
      <c r="O24" s="17">
        <f>249.369+2522.625+23.345</f>
        <v>2795.339</v>
      </c>
      <c r="P24" s="17"/>
      <c r="Q24" s="17"/>
      <c r="R24" s="17"/>
      <c r="S24" s="17">
        <f>12.363+53.57</f>
        <v>65.93299999999999</v>
      </c>
      <c r="T24" s="17"/>
      <c r="U24" s="17"/>
      <c r="V24" s="17"/>
      <c r="W24" s="17"/>
      <c r="X24" s="17"/>
      <c r="Y24" s="17"/>
      <c r="Z24" s="17">
        <f>3502.103+6.068+49.291+1660.943</f>
        <v>5218.405000000001</v>
      </c>
      <c r="AA24" s="17">
        <f>796.409+521.398</f>
        <v>1317.807</v>
      </c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17352.512</v>
      </c>
      <c r="AK24" s="41">
        <f t="shared" si="4"/>
        <v>-7278.471000000001</v>
      </c>
      <c r="AL24" s="7"/>
      <c r="AM24" s="66" t="s">
        <v>27</v>
      </c>
      <c r="AN24" s="67">
        <f>$AJ$66+$AJ$69+$AJ$77+$AJ$62+$AJ$64</f>
        <v>1350.505</v>
      </c>
      <c r="AO24" s="73"/>
      <c r="AP24" s="8"/>
    </row>
    <row r="25" spans="2:42" ht="15.75">
      <c r="B25" s="44" t="s">
        <v>28</v>
      </c>
      <c r="C25" s="45">
        <v>21.444</v>
      </c>
      <c r="D25" s="45"/>
      <c r="E25" s="17"/>
      <c r="F25" s="17">
        <v>1.497</v>
      </c>
      <c r="G25" s="17"/>
      <c r="H25" s="17">
        <v>0.035</v>
      </c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1.13</v>
      </c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2.662</v>
      </c>
      <c r="AK25" s="41">
        <f t="shared" si="4"/>
        <v>-18.782</v>
      </c>
      <c r="AL25" s="7"/>
      <c r="AM25" s="66" t="s">
        <v>29</v>
      </c>
      <c r="AN25" s="67">
        <f>$AJ$52</f>
        <v>507.91200000000003</v>
      </c>
      <c r="AO25" s="73"/>
      <c r="AP25" s="8"/>
    </row>
    <row r="26" spans="2:42" ht="15.75">
      <c r="B26" s="44" t="s">
        <v>30</v>
      </c>
      <c r="C26" s="45">
        <v>2647.246</v>
      </c>
      <c r="D26" s="45"/>
      <c r="E26" s="17"/>
      <c r="F26" s="17"/>
      <c r="G26" s="17"/>
      <c r="H26" s="17"/>
      <c r="I26" s="17"/>
      <c r="J26" s="17"/>
      <c r="K26" s="17"/>
      <c r="L26" s="17"/>
      <c r="M26" s="17">
        <v>9.223</v>
      </c>
      <c r="N26" s="22"/>
      <c r="O26" s="17">
        <v>17.072</v>
      </c>
      <c r="P26" s="17"/>
      <c r="Q26" s="17"/>
      <c r="R26" s="17"/>
      <c r="S26" s="17"/>
      <c r="T26" s="17">
        <v>10.919</v>
      </c>
      <c r="U26" s="17"/>
      <c r="V26" s="17">
        <v>14.63</v>
      </c>
      <c r="W26" s="17"/>
      <c r="X26" s="17"/>
      <c r="Y26" s="17"/>
      <c r="Z26" s="17">
        <v>28.208</v>
      </c>
      <c r="AA26" s="17">
        <v>41.45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121.502</v>
      </c>
      <c r="AK26" s="41">
        <f t="shared" si="4"/>
        <v>-2525.744</v>
      </c>
      <c r="AL26" s="7"/>
      <c r="AM26" s="66" t="s">
        <v>31</v>
      </c>
      <c r="AN26" s="67">
        <f>$AJ$56</f>
        <v>488.78200000000004</v>
      </c>
      <c r="AO26" s="73"/>
      <c r="AP26" s="8"/>
    </row>
    <row r="27" spans="2:42" ht="15.75">
      <c r="B27" s="44" t="s">
        <v>22</v>
      </c>
      <c r="C27" s="45">
        <v>4167.884</v>
      </c>
      <c r="D27" s="45"/>
      <c r="E27" s="17">
        <v>10.423</v>
      </c>
      <c r="F27" s="17">
        <v>7.317</v>
      </c>
      <c r="G27" s="17"/>
      <c r="H27" s="17">
        <v>11.827</v>
      </c>
      <c r="I27" s="17"/>
      <c r="J27" s="17"/>
      <c r="K27" s="17"/>
      <c r="L27" s="17"/>
      <c r="M27" s="17">
        <v>13.433</v>
      </c>
      <c r="N27" s="22"/>
      <c r="O27" s="17">
        <v>1.156</v>
      </c>
      <c r="P27" s="17"/>
      <c r="Q27" s="17"/>
      <c r="R27" s="17"/>
      <c r="S27" s="17">
        <v>0.809</v>
      </c>
      <c r="T27" s="17">
        <v>5.866</v>
      </c>
      <c r="U27" s="17"/>
      <c r="V27" s="17">
        <v>3.645</v>
      </c>
      <c r="W27" s="17"/>
      <c r="X27" s="17"/>
      <c r="Y27" s="17"/>
      <c r="Z27" s="17">
        <v>8.125</v>
      </c>
      <c r="AA27" s="17">
        <f>10.733+0.363</f>
        <v>11.096</v>
      </c>
      <c r="AB27" s="17"/>
      <c r="AC27" s="17">
        <v>-0.143</v>
      </c>
      <c r="AD27" s="22"/>
      <c r="AE27" s="22"/>
      <c r="AF27" s="22"/>
      <c r="AG27" s="22"/>
      <c r="AH27" s="17"/>
      <c r="AI27" s="17"/>
      <c r="AJ27" s="17">
        <f>SUM(D27:AI27)</f>
        <v>73.554</v>
      </c>
      <c r="AK27" s="41">
        <f t="shared" si="4"/>
        <v>-4094.33</v>
      </c>
      <c r="AL27" s="7"/>
      <c r="AM27" s="66" t="s">
        <v>32</v>
      </c>
      <c r="AN27" s="67">
        <f>$AJ$49+$AJ$74+$AJ$80+$AJ$81+$AJ$86+$AJ$76+$AJ$78+$AJ$82+$AJ$83+$AJ$85+$AJ$79+$AJ$84</f>
        <v>3445.352</v>
      </c>
      <c r="AO27" s="73"/>
      <c r="AP27" s="8"/>
    </row>
    <row r="28" spans="2:42" ht="15.75">
      <c r="B28" s="44" t="s">
        <v>24</v>
      </c>
      <c r="C28" s="45">
        <f>2427.827+111.543</f>
        <v>2539.3700000000003</v>
      </c>
      <c r="D28" s="45"/>
      <c r="E28" s="17">
        <v>0.29</v>
      </c>
      <c r="F28" s="17">
        <v>2.38</v>
      </c>
      <c r="G28" s="17"/>
      <c r="H28" s="17">
        <v>9.979</v>
      </c>
      <c r="I28" s="17"/>
      <c r="J28" s="17"/>
      <c r="K28" s="17"/>
      <c r="L28" s="17"/>
      <c r="M28" s="17">
        <f>27.082+0.06+0.24</f>
        <v>27.381999999999998</v>
      </c>
      <c r="N28" s="17"/>
      <c r="O28" s="17">
        <v>13.324</v>
      </c>
      <c r="P28" s="17"/>
      <c r="Q28" s="17"/>
      <c r="R28" s="17"/>
      <c r="S28" s="17">
        <f>9.254+0.4</f>
        <v>9.654</v>
      </c>
      <c r="T28" s="17">
        <v>7.245</v>
      </c>
      <c r="U28" s="17"/>
      <c r="V28" s="17">
        <v>4.39</v>
      </c>
      <c r="W28" s="17"/>
      <c r="X28" s="17"/>
      <c r="Y28" s="17"/>
      <c r="Z28" s="17">
        <f>0.253+0.37</f>
        <v>0.623</v>
      </c>
      <c r="AA28" s="17">
        <f>9.86-0.363</f>
        <v>9.497</v>
      </c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84.76400000000001</v>
      </c>
      <c r="AK28" s="41">
        <f t="shared" si="4"/>
        <v>-2454.606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397.333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52.196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7.842</v>
      </c>
      <c r="T29" s="43">
        <f t="shared" si="7"/>
        <v>0</v>
      </c>
      <c r="U29" s="43">
        <f t="shared" si="7"/>
        <v>0</v>
      </c>
      <c r="V29" s="43">
        <f t="shared" si="7"/>
        <v>4.612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1.553</v>
      </c>
      <c r="AA29" s="43">
        <f t="shared" si="7"/>
        <v>0.814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67.01699999999998</v>
      </c>
      <c r="AK29" s="41">
        <f t="shared" si="4"/>
        <v>-330.31600000000003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397.333</v>
      </c>
      <c r="D30" s="3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>
        <v>52.196</v>
      </c>
      <c r="P30" s="22"/>
      <c r="Q30" s="22"/>
      <c r="R30" s="22"/>
      <c r="S30" s="22">
        <v>7.842</v>
      </c>
      <c r="T30" s="22"/>
      <c r="U30" s="22"/>
      <c r="V30" s="22">
        <v>4.612</v>
      </c>
      <c r="W30" s="22"/>
      <c r="X30" s="22"/>
      <c r="Y30" s="22"/>
      <c r="Z30" s="22">
        <v>1.553</v>
      </c>
      <c r="AA30" s="22">
        <v>0.814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67.01699999999998</v>
      </c>
      <c r="AK30" s="41">
        <f t="shared" si="4"/>
        <v>-330.31600000000003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1120.683</v>
      </c>
      <c r="D32" s="43"/>
      <c r="E32" s="43"/>
      <c r="F32" s="43"/>
      <c r="G32" s="43"/>
      <c r="H32" s="43">
        <v>12.027</v>
      </c>
      <c r="I32" s="43"/>
      <c r="J32" s="43"/>
      <c r="K32" s="43"/>
      <c r="L32" s="43"/>
      <c r="M32" s="43"/>
      <c r="N32" s="43"/>
      <c r="O32" s="43">
        <v>6.4</v>
      </c>
      <c r="P32" s="43"/>
      <c r="Q32" s="43"/>
      <c r="R32" s="43"/>
      <c r="S32" s="43">
        <v>2.77</v>
      </c>
      <c r="T32" s="43"/>
      <c r="U32" s="43"/>
      <c r="V32" s="43">
        <v>114.641</v>
      </c>
      <c r="W32" s="43"/>
      <c r="X32" s="43"/>
      <c r="Y32" s="43"/>
      <c r="Z32" s="43"/>
      <c r="AA32" s="43">
        <v>1.2</v>
      </c>
      <c r="AB32" s="43"/>
      <c r="AC32" s="43"/>
      <c r="AD32" s="43"/>
      <c r="AE32" s="43"/>
      <c r="AF32" s="43"/>
      <c r="AG32" s="43">
        <v>-6.4</v>
      </c>
      <c r="AH32" s="43"/>
      <c r="AI32" s="43"/>
      <c r="AJ32" s="43">
        <f>SUM(D32:AI32)</f>
        <v>130.63799999999998</v>
      </c>
      <c r="AK32" s="41">
        <f t="shared" si="4"/>
        <v>-990.0450000000001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607.55</v>
      </c>
      <c r="D33" s="43"/>
      <c r="E33" s="43"/>
      <c r="F33" s="43"/>
      <c r="G33" s="43"/>
      <c r="H33" s="43">
        <v>54.435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54.435</v>
      </c>
      <c r="AK33" s="41">
        <f t="shared" si="4"/>
        <v>-553.115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-125.922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786.761</v>
      </c>
      <c r="D36" s="43">
        <f t="shared" si="8"/>
        <v>0</v>
      </c>
      <c r="E36" s="43">
        <f t="shared" si="8"/>
        <v>0.3</v>
      </c>
      <c r="F36" s="43">
        <f t="shared" si="8"/>
        <v>0</v>
      </c>
      <c r="G36" s="43">
        <f t="shared" si="8"/>
        <v>0</v>
      </c>
      <c r="H36" s="43">
        <f t="shared" si="8"/>
        <v>9.737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174.924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1.4000000000000001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485.374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671.735</v>
      </c>
      <c r="AK36" s="41">
        <f t="shared" si="4"/>
        <v>-115.02599999999995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724.154</v>
      </c>
      <c r="D37" s="45"/>
      <c r="E37" s="17"/>
      <c r="F37" s="17"/>
      <c r="G37" s="17"/>
      <c r="H37" s="17"/>
      <c r="I37" s="17"/>
      <c r="J37" s="17"/>
      <c r="K37" s="17"/>
      <c r="L37" s="17"/>
      <c r="M37" s="17">
        <v>172.976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483.994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656.97</v>
      </c>
      <c r="AK37" s="41">
        <f t="shared" si="4"/>
        <v>-67.18399999999997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>
        <v>1.8</v>
      </c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1.8</v>
      </c>
      <c r="AK38" s="41">
        <f t="shared" si="4"/>
        <v>-0.014999999999999902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32.247</v>
      </c>
      <c r="D39" s="45"/>
      <c r="E39" s="17"/>
      <c r="F39" s="17"/>
      <c r="G39" s="17"/>
      <c r="H39" s="17">
        <v>3.724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3.9170000000000003</v>
      </c>
      <c r="AK39" s="41">
        <f t="shared" si="4"/>
        <v>-28.33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28.545</v>
      </c>
      <c r="D40" s="45"/>
      <c r="E40" s="17">
        <v>0.3</v>
      </c>
      <c r="F40" s="17"/>
      <c r="G40" s="17"/>
      <c r="H40" s="17">
        <v>6.013</v>
      </c>
      <c r="I40" s="17"/>
      <c r="J40" s="17"/>
      <c r="K40" s="17"/>
      <c r="L40" s="17"/>
      <c r="M40" s="17">
        <v>0.148</v>
      </c>
      <c r="N40" s="17"/>
      <c r="O40" s="17"/>
      <c r="P40" s="17"/>
      <c r="Q40" s="17"/>
      <c r="R40" s="17"/>
      <c r="S40" s="17"/>
      <c r="T40" s="17">
        <v>1.207</v>
      </c>
      <c r="U40" s="17"/>
      <c r="V40" s="17"/>
      <c r="W40" s="17"/>
      <c r="X40" s="17"/>
      <c r="Y40" s="17"/>
      <c r="Z40" s="17"/>
      <c r="AA40" s="17">
        <v>1.38</v>
      </c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9.047999999999998</v>
      </c>
      <c r="AK40" s="41">
        <f t="shared" si="4"/>
        <v>-19.497000000000003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253.892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52.582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13.99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91.631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158.203</v>
      </c>
      <c r="AK41" s="41">
        <f t="shared" si="4"/>
        <v>-95.689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220</v>
      </c>
      <c r="D42" s="45"/>
      <c r="E42" s="17"/>
      <c r="F42" s="17"/>
      <c r="G42" s="17"/>
      <c r="H42" s="17"/>
      <c r="I42" s="17"/>
      <c r="J42" s="17"/>
      <c r="K42" s="17"/>
      <c r="L42" s="17">
        <v>50.653</v>
      </c>
      <c r="M42" s="17"/>
      <c r="N42" s="22"/>
      <c r="O42" s="17"/>
      <c r="P42" s="17"/>
      <c r="Q42" s="17"/>
      <c r="R42" s="17"/>
      <c r="S42" s="17">
        <v>13.151</v>
      </c>
      <c r="T42" s="17"/>
      <c r="U42" s="17"/>
      <c r="V42" s="50"/>
      <c r="W42" s="17"/>
      <c r="X42" s="17"/>
      <c r="Y42" s="17"/>
      <c r="Z42" s="50"/>
      <c r="AA42" s="17">
        <v>90.964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154.768</v>
      </c>
      <c r="AK42" s="41">
        <f t="shared" si="4"/>
        <v>-65.232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18.496</v>
      </c>
      <c r="D43" s="45"/>
      <c r="E43" s="17"/>
      <c r="F43" s="17"/>
      <c r="G43" s="17"/>
      <c r="H43" s="17"/>
      <c r="I43" s="17"/>
      <c r="J43" s="17"/>
      <c r="K43" s="17"/>
      <c r="L43" s="17">
        <v>0.819</v>
      </c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0.172</v>
      </c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0.9909999999999999</v>
      </c>
      <c r="AK43" s="41">
        <f t="shared" si="4"/>
        <v>-17.505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15.396</v>
      </c>
      <c r="D44" s="45"/>
      <c r="E44" s="17"/>
      <c r="F44" s="17"/>
      <c r="G44" s="17"/>
      <c r="H44" s="17"/>
      <c r="I44" s="17"/>
      <c r="J44" s="17"/>
      <c r="K44" s="17"/>
      <c r="L44" s="17">
        <v>1.11</v>
      </c>
      <c r="M44" s="17"/>
      <c r="N44" s="17"/>
      <c r="O44" s="17"/>
      <c r="P44" s="17"/>
      <c r="Q44" s="17"/>
      <c r="R44" s="17"/>
      <c r="S44" s="17">
        <v>0.839</v>
      </c>
      <c r="T44" s="17"/>
      <c r="U44" s="17"/>
      <c r="V44" s="17"/>
      <c r="W44" s="17"/>
      <c r="X44" s="17"/>
      <c r="Y44" s="17"/>
      <c r="Z44" s="17"/>
      <c r="AA44" s="17">
        <v>0.495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2.444</v>
      </c>
      <c r="AK44" s="41">
        <f t="shared" si="4"/>
        <v>-12.952000000000002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235.97499999999997</v>
      </c>
      <c r="D45" s="43">
        <f t="shared" si="10"/>
        <v>0</v>
      </c>
      <c r="E45" s="43">
        <f t="shared" si="10"/>
        <v>12.276</v>
      </c>
      <c r="F45" s="43">
        <f t="shared" si="10"/>
        <v>0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40.014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31.742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84.03200000000001</v>
      </c>
      <c r="AK45" s="41">
        <f t="shared" si="4"/>
        <v>-151.94299999999996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226.289</v>
      </c>
      <c r="D46" s="45"/>
      <c r="E46" s="17">
        <v>12.276</v>
      </c>
      <c r="F46" s="17"/>
      <c r="G46" s="17"/>
      <c r="H46" s="17"/>
      <c r="I46" s="17"/>
      <c r="J46" s="17"/>
      <c r="K46" s="17"/>
      <c r="L46" s="17"/>
      <c r="M46" s="17">
        <v>40.014</v>
      </c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>
        <v>31.742</v>
      </c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84.03200000000001</v>
      </c>
      <c r="AK46" s="41">
        <f t="shared" si="4"/>
        <v>-142.25699999999998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4.57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-4.57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124.62599999999999</v>
      </c>
      <c r="D49" s="43">
        <f aca="true" t="shared" si="11" ref="D49:AH49">D50+D51</f>
        <v>0</v>
      </c>
      <c r="E49" s="43">
        <f t="shared" si="11"/>
        <v>5.827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4.609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10.436</v>
      </c>
      <c r="AK49" s="41">
        <f t="shared" si="4"/>
        <v>-114.19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94.948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-94.948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29.678</v>
      </c>
      <c r="D51" s="34"/>
      <c r="E51" s="22">
        <v>5.827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>
        <v>4.609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10.436</v>
      </c>
      <c r="AK51" s="41">
        <f t="shared" si="4"/>
        <v>-19.242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1888.354</v>
      </c>
      <c r="D52" s="43">
        <f t="shared" si="12"/>
        <v>0</v>
      </c>
      <c r="E52" s="43">
        <f t="shared" si="12"/>
        <v>12.617999999999999</v>
      </c>
      <c r="F52" s="43">
        <f t="shared" si="12"/>
        <v>0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134.47</v>
      </c>
      <c r="N52" s="43">
        <f t="shared" si="12"/>
        <v>0</v>
      </c>
      <c r="O52" s="43">
        <f t="shared" si="12"/>
        <v>1.528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0.63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358.66600000000005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507.91200000000003</v>
      </c>
      <c r="AK52" s="41">
        <f t="shared" si="4"/>
        <v>-1380.442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1434.066</v>
      </c>
      <c r="D53" s="45"/>
      <c r="E53" s="17">
        <v>9.729</v>
      </c>
      <c r="F53" s="17"/>
      <c r="G53" s="17"/>
      <c r="H53" s="17"/>
      <c r="I53" s="17"/>
      <c r="J53" s="17"/>
      <c r="K53" s="17"/>
      <c r="L53" s="17"/>
      <c r="M53" s="17">
        <v>128.491</v>
      </c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>
        <v>358.045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496.26500000000004</v>
      </c>
      <c r="AK53" s="41">
        <f t="shared" si="4"/>
        <v>-937.8009999999999</v>
      </c>
    </row>
    <row r="54" spans="2:37" ht="15.75">
      <c r="B54" s="44" t="s">
        <v>22</v>
      </c>
      <c r="C54" s="45">
        <v>148.455</v>
      </c>
      <c r="D54" s="45"/>
      <c r="E54" s="17">
        <v>2.237</v>
      </c>
      <c r="F54" s="17"/>
      <c r="G54" s="17"/>
      <c r="H54" s="17"/>
      <c r="I54" s="17"/>
      <c r="J54" s="17"/>
      <c r="K54" s="17"/>
      <c r="L54" s="17"/>
      <c r="M54" s="17">
        <v>1.439</v>
      </c>
      <c r="N54" s="22"/>
      <c r="O54" s="17">
        <v>0.118</v>
      </c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>
        <v>0.475</v>
      </c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4.269</v>
      </c>
      <c r="AK54" s="41">
        <f t="shared" si="4"/>
        <v>-144.186</v>
      </c>
    </row>
    <row r="55" spans="2:38" ht="15.75">
      <c r="B55" s="44" t="s">
        <v>24</v>
      </c>
      <c r="C55" s="45">
        <v>305.833</v>
      </c>
      <c r="D55" s="45"/>
      <c r="E55" s="17">
        <v>0.652</v>
      </c>
      <c r="F55" s="17"/>
      <c r="G55" s="17"/>
      <c r="H55" s="17"/>
      <c r="I55" s="17"/>
      <c r="J55" s="17"/>
      <c r="K55" s="17"/>
      <c r="L55" s="17"/>
      <c r="M55" s="17">
        <v>4.54</v>
      </c>
      <c r="N55" s="17"/>
      <c r="O55" s="17">
        <v>1.41</v>
      </c>
      <c r="P55" s="17"/>
      <c r="Q55" s="17"/>
      <c r="R55" s="17"/>
      <c r="S55" s="17">
        <v>0.63</v>
      </c>
      <c r="T55" s="17"/>
      <c r="U55" s="17"/>
      <c r="V55" s="17"/>
      <c r="W55" s="17"/>
      <c r="X55" s="17"/>
      <c r="Y55" s="17"/>
      <c r="Z55" s="17"/>
      <c r="AA55" s="17">
        <v>0.146</v>
      </c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7.378</v>
      </c>
      <c r="AK55" s="41">
        <f t="shared" si="4"/>
        <v>-298.45500000000004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1722.7659999999998</v>
      </c>
      <c r="D56" s="43">
        <f aca="true" t="shared" si="13" ref="D56:AJ56">SUM(D57:D61)</f>
        <v>0</v>
      </c>
      <c r="E56" s="43">
        <f t="shared" si="13"/>
        <v>2.771</v>
      </c>
      <c r="F56" s="43">
        <f t="shared" si="13"/>
        <v>0</v>
      </c>
      <c r="G56" s="43">
        <f t="shared" si="13"/>
        <v>0</v>
      </c>
      <c r="H56" s="43">
        <f t="shared" si="13"/>
        <v>8.163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135.15800000000002</v>
      </c>
      <c r="N56" s="43">
        <f t="shared" si="13"/>
        <v>0</v>
      </c>
      <c r="O56" s="43">
        <f t="shared" si="13"/>
        <v>2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9.409</v>
      </c>
      <c r="AA56" s="43">
        <f t="shared" si="13"/>
        <v>331.305</v>
      </c>
      <c r="AB56" s="43">
        <f t="shared" si="13"/>
        <v>0</v>
      </c>
      <c r="AC56" s="43">
        <f t="shared" si="13"/>
        <v>-0.024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488.78200000000004</v>
      </c>
      <c r="AK56" s="41">
        <f t="shared" si="4"/>
        <v>-1233.984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1117.206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123.25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>
        <v>315.927</v>
      </c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439.177</v>
      </c>
      <c r="AK57" s="41">
        <f t="shared" si="4"/>
        <v>-678.0289999999999</v>
      </c>
    </row>
    <row r="58" spans="2:37" ht="15.75">
      <c r="B58" s="44" t="s">
        <v>28</v>
      </c>
      <c r="C58" s="45">
        <f>0.012+1</f>
        <v>1.012</v>
      </c>
      <c r="D58" s="45"/>
      <c r="E58" s="17"/>
      <c r="F58" s="17"/>
      <c r="G58" s="17"/>
      <c r="H58" s="17"/>
      <c r="I58" s="17"/>
      <c r="J58" s="17"/>
      <c r="K58" s="17"/>
      <c r="L58" s="17"/>
      <c r="M58" s="17">
        <v>1</v>
      </c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1</v>
      </c>
      <c r="AK58" s="41">
        <f t="shared" si="4"/>
        <v>-0.01200000000000001</v>
      </c>
    </row>
    <row r="59" spans="2:37" ht="15.75">
      <c r="B59" s="44" t="s">
        <v>22</v>
      </c>
      <c r="C59" s="45">
        <f>131.825-1</f>
        <v>130.825</v>
      </c>
      <c r="D59" s="45"/>
      <c r="E59" s="17">
        <v>2.771</v>
      </c>
      <c r="F59" s="17"/>
      <c r="G59" s="17"/>
      <c r="H59" s="17"/>
      <c r="I59" s="17"/>
      <c r="J59" s="17"/>
      <c r="K59" s="17"/>
      <c r="L59" s="17"/>
      <c r="M59" s="17">
        <v>1.299</v>
      </c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>
        <v>0.707</v>
      </c>
      <c r="AB59" s="17"/>
      <c r="AC59" s="17">
        <v>-0.024</v>
      </c>
      <c r="AD59" s="22"/>
      <c r="AE59" s="22"/>
      <c r="AF59" s="22"/>
      <c r="AG59" s="22"/>
      <c r="AH59" s="17"/>
      <c r="AI59" s="17"/>
      <c r="AJ59" s="17">
        <f>SUM(D59:AI59)</f>
        <v>4.753</v>
      </c>
      <c r="AK59" s="41">
        <f t="shared" si="4"/>
        <v>-126.07199999999999</v>
      </c>
    </row>
    <row r="60" spans="2:37" ht="15.75">
      <c r="B60" s="44" t="s">
        <v>34</v>
      </c>
      <c r="C60" s="45">
        <v>68.435</v>
      </c>
      <c r="D60" s="45"/>
      <c r="E60" s="17"/>
      <c r="F60" s="17"/>
      <c r="G60" s="17"/>
      <c r="H60" s="17">
        <v>8.163</v>
      </c>
      <c r="I60" s="17"/>
      <c r="J60" s="17"/>
      <c r="K60" s="17"/>
      <c r="L60" s="17"/>
      <c r="M60" s="17"/>
      <c r="N60" s="22"/>
      <c r="O60" s="17">
        <v>2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12.442</v>
      </c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22.605</v>
      </c>
      <c r="AK60" s="41">
        <f t="shared" si="4"/>
        <v>-45.83</v>
      </c>
    </row>
    <row r="61" spans="2:37" ht="15.75">
      <c r="B61" s="44" t="s">
        <v>24</v>
      </c>
      <c r="C61" s="45">
        <v>405.288</v>
      </c>
      <c r="D61" s="45"/>
      <c r="E61" s="17"/>
      <c r="F61" s="17"/>
      <c r="G61" s="17"/>
      <c r="H61" s="17"/>
      <c r="I61" s="17"/>
      <c r="J61" s="17"/>
      <c r="K61" s="17"/>
      <c r="L61" s="17"/>
      <c r="M61" s="17">
        <v>9.609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>
        <v>9.409</v>
      </c>
      <c r="AA61" s="17">
        <v>2.229</v>
      </c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21.247</v>
      </c>
      <c r="AK61" s="41">
        <f t="shared" si="4"/>
        <v>-384.041</v>
      </c>
    </row>
    <row r="62" spans="2:37" ht="29.25">
      <c r="B62" s="42" t="s">
        <v>48</v>
      </c>
      <c r="C62" s="43">
        <f>C63</f>
        <v>150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-150</v>
      </c>
    </row>
    <row r="63" spans="2:37" ht="15.75">
      <c r="B63" s="44" t="s">
        <v>34</v>
      </c>
      <c r="C63" s="45">
        <v>150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-150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3907.405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635.792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4.262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709.797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1349.851</v>
      </c>
      <c r="AK66" s="41">
        <f t="shared" si="4"/>
        <v>-2557.554</v>
      </c>
    </row>
    <row r="67" spans="2:37" ht="15.75">
      <c r="B67" s="56" t="s">
        <v>50</v>
      </c>
      <c r="C67" s="34">
        <v>436.012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-436.012</v>
      </c>
    </row>
    <row r="68" spans="2:37" ht="15.75">
      <c r="B68" s="56" t="s">
        <v>34</v>
      </c>
      <c r="C68" s="34">
        <v>3471.393</v>
      </c>
      <c r="D68" s="34"/>
      <c r="E68" s="22"/>
      <c r="F68" s="22">
        <v>635.792</v>
      </c>
      <c r="G68" s="22"/>
      <c r="H68" s="22"/>
      <c r="I68" s="22"/>
      <c r="J68" s="22"/>
      <c r="K68" s="22"/>
      <c r="L68" s="22"/>
      <c r="M68" s="22">
        <v>4.262</v>
      </c>
      <c r="N68" s="22"/>
      <c r="O68" s="22"/>
      <c r="P68" s="22"/>
      <c r="Q68" s="22"/>
      <c r="R68" s="22"/>
      <c r="S68" s="22"/>
      <c r="T68" s="22">
        <v>709.797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1349.851</v>
      </c>
      <c r="AK68" s="41">
        <f t="shared" si="4"/>
        <v>-2121.542</v>
      </c>
    </row>
    <row r="69" spans="2:37" ht="15.75">
      <c r="B69" s="42" t="s">
        <v>51</v>
      </c>
      <c r="C69" s="43">
        <f>C70+C71</f>
        <v>6.929</v>
      </c>
      <c r="D69" s="43">
        <f aca="true" t="shared" si="17" ref="D69:AJ69">D70+D71</f>
        <v>0</v>
      </c>
      <c r="E69" s="43">
        <f t="shared" si="17"/>
        <v>0.654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0.654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2.615</v>
      </c>
      <c r="D71" s="34"/>
      <c r="E71" s="22">
        <v>0.654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0.654</v>
      </c>
      <c r="AK71" s="41">
        <f t="shared" si="4"/>
        <v>-1.9610000000000003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v>10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0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2376.8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0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0</v>
      </c>
      <c r="AK74" s="41">
        <f t="shared" si="4"/>
        <v>-2376.8</v>
      </c>
      <c r="AL74" s="26"/>
    </row>
    <row r="75" spans="2:49" s="26" customFormat="1" ht="15.75">
      <c r="B75" s="56" t="s">
        <v>50</v>
      </c>
      <c r="C75" s="34">
        <v>2376.8</v>
      </c>
      <c r="D75" s="3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0</v>
      </c>
      <c r="AK75" s="41">
        <f t="shared" si="4"/>
        <v>-2376.8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221.6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-221.6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316.914</v>
      </c>
      <c r="D79" s="43"/>
      <c r="E79" s="43"/>
      <c r="F79" s="43">
        <v>16.443</v>
      </c>
      <c r="G79" s="43"/>
      <c r="H79" s="43"/>
      <c r="I79" s="43"/>
      <c r="J79" s="43"/>
      <c r="K79" s="43"/>
      <c r="L79" s="43">
        <v>1.279</v>
      </c>
      <c r="M79" s="43">
        <v>0.846</v>
      </c>
      <c r="N79" s="43"/>
      <c r="O79" s="43">
        <v>50.647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v>139.387</v>
      </c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208.602</v>
      </c>
      <c r="AK79" s="41">
        <f t="shared" si="4"/>
        <v>-108.31199999999998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v>190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-190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30.75" customHeight="1">
      <c r="B84" s="42" t="s">
        <v>76</v>
      </c>
      <c r="C84" s="43">
        <v>101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-101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>
        <v>566.241</v>
      </c>
      <c r="F86" s="43">
        <v>694.183</v>
      </c>
      <c r="G86" s="43"/>
      <c r="H86" s="43"/>
      <c r="I86" s="43"/>
      <c r="J86" s="43"/>
      <c r="K86" s="43"/>
      <c r="L86" s="43"/>
      <c r="M86" s="43">
        <f>397.931</f>
        <v>397.931</v>
      </c>
      <c r="N86" s="43"/>
      <c r="O86" s="43">
        <v>434.206</v>
      </c>
      <c r="P86" s="43"/>
      <c r="Q86" s="43"/>
      <c r="R86" s="43"/>
      <c r="S86" s="43">
        <v>40.1</v>
      </c>
      <c r="T86" s="43">
        <v>916.639</v>
      </c>
      <c r="U86" s="43"/>
      <c r="V86" s="43"/>
      <c r="W86" s="43"/>
      <c r="X86" s="43"/>
      <c r="Y86" s="43"/>
      <c r="Z86" s="43">
        <f>238.941</f>
        <v>238.941</v>
      </c>
      <c r="AA86" s="43"/>
      <c r="AB86" s="43"/>
      <c r="AC86" s="43">
        <v>-25</v>
      </c>
      <c r="AD86" s="43"/>
      <c r="AE86" s="43"/>
      <c r="AF86" s="43"/>
      <c r="AG86" s="43">
        <v>-36.927</v>
      </c>
      <c r="AH86" s="43"/>
      <c r="AI86" s="43"/>
      <c r="AJ86" s="43">
        <f t="shared" si="19"/>
        <v>3226.314</v>
      </c>
      <c r="AK86" s="41">
        <f t="shared" si="20"/>
        <v>3226.314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56146.047000000006</v>
      </c>
      <c r="D87" s="59">
        <f aca="true" t="shared" si="21" ref="D87:AJ87">SUM(D88:D94)</f>
        <v>0</v>
      </c>
      <c r="E87" s="59">
        <f t="shared" si="21"/>
        <v>842.042</v>
      </c>
      <c r="F87" s="59">
        <f t="shared" si="21"/>
        <v>1382.7820000000002</v>
      </c>
      <c r="G87" s="59">
        <f t="shared" si="21"/>
        <v>0</v>
      </c>
      <c r="H87" s="59">
        <f t="shared" si="21"/>
        <v>488.338</v>
      </c>
      <c r="I87" s="59">
        <f t="shared" si="21"/>
        <v>0</v>
      </c>
      <c r="J87" s="59">
        <f t="shared" si="21"/>
        <v>0</v>
      </c>
      <c r="K87" s="59">
        <f t="shared" si="21"/>
        <v>0</v>
      </c>
      <c r="L87" s="59">
        <f t="shared" si="21"/>
        <v>53.861000000000004</v>
      </c>
      <c r="M87" s="59">
        <f t="shared" si="21"/>
        <v>9294.956</v>
      </c>
      <c r="N87" s="59">
        <f t="shared" si="21"/>
        <v>0</v>
      </c>
      <c r="O87" s="59">
        <f t="shared" si="21"/>
        <v>3695.305</v>
      </c>
      <c r="P87" s="59">
        <f t="shared" si="21"/>
        <v>0</v>
      </c>
      <c r="Q87" s="59">
        <f t="shared" si="21"/>
        <v>0</v>
      </c>
      <c r="R87" s="59">
        <f t="shared" si="21"/>
        <v>0</v>
      </c>
      <c r="S87" s="59">
        <f t="shared" si="21"/>
        <v>155.70999999999998</v>
      </c>
      <c r="T87" s="59">
        <f t="shared" si="21"/>
        <v>1675.084</v>
      </c>
      <c r="U87" s="59">
        <f t="shared" si="21"/>
        <v>0</v>
      </c>
      <c r="V87" s="59">
        <f t="shared" si="21"/>
        <v>156.775</v>
      </c>
      <c r="W87" s="59">
        <f t="shared" si="21"/>
        <v>0</v>
      </c>
      <c r="X87" s="59">
        <f t="shared" si="21"/>
        <v>0</v>
      </c>
      <c r="Y87" s="59">
        <f t="shared" si="21"/>
        <v>0</v>
      </c>
      <c r="Z87" s="59">
        <f t="shared" si="21"/>
        <v>5875.232</v>
      </c>
      <c r="AA87" s="59">
        <f t="shared" si="21"/>
        <v>4106.964</v>
      </c>
      <c r="AB87" s="59">
        <f t="shared" si="21"/>
        <v>0</v>
      </c>
      <c r="AC87" s="59">
        <f t="shared" si="21"/>
        <v>-25.167</v>
      </c>
      <c r="AD87" s="59">
        <f t="shared" si="21"/>
        <v>0</v>
      </c>
      <c r="AE87" s="59">
        <f t="shared" si="21"/>
        <v>0</v>
      </c>
      <c r="AF87" s="59">
        <f t="shared" si="21"/>
        <v>0</v>
      </c>
      <c r="AG87" s="59">
        <f t="shared" si="21"/>
        <v>-55.766999999999996</v>
      </c>
      <c r="AH87" s="59">
        <f t="shared" si="21"/>
        <v>0</v>
      </c>
      <c r="AI87" s="59">
        <f t="shared" si="21"/>
        <v>0</v>
      </c>
      <c r="AJ87" s="59">
        <f t="shared" si="21"/>
        <v>27646.115</v>
      </c>
      <c r="AK87" s="41">
        <f t="shared" si="20"/>
        <v>-28499.932000000004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32706.287</v>
      </c>
      <c r="D88" s="45">
        <f t="shared" si="22"/>
        <v>0</v>
      </c>
      <c r="E88" s="45">
        <f t="shared" si="22"/>
        <v>215.707</v>
      </c>
      <c r="F88" s="45">
        <f t="shared" si="22"/>
        <v>9.454</v>
      </c>
      <c r="G88" s="45">
        <f t="shared" si="22"/>
        <v>0</v>
      </c>
      <c r="H88" s="45">
        <f t="shared" si="22"/>
        <v>361.36899999999997</v>
      </c>
      <c r="I88" s="45">
        <f t="shared" si="22"/>
        <v>0</v>
      </c>
      <c r="J88" s="45">
        <f t="shared" si="22"/>
        <v>0</v>
      </c>
      <c r="K88" s="45">
        <f t="shared" si="22"/>
        <v>0</v>
      </c>
      <c r="L88" s="45">
        <f t="shared" si="22"/>
        <v>50.653</v>
      </c>
      <c r="M88" s="45">
        <f t="shared" si="22"/>
        <v>8811.716</v>
      </c>
      <c r="N88" s="45">
        <f t="shared" si="22"/>
        <v>0</v>
      </c>
      <c r="O88" s="45">
        <f t="shared" si="22"/>
        <v>3082.339</v>
      </c>
      <c r="P88" s="45">
        <f t="shared" si="22"/>
        <v>0</v>
      </c>
      <c r="Q88" s="45">
        <f t="shared" si="22"/>
        <v>0</v>
      </c>
      <c r="R88" s="45">
        <f t="shared" si="22"/>
        <v>0</v>
      </c>
      <c r="S88" s="45">
        <f t="shared" si="22"/>
        <v>79.08399999999999</v>
      </c>
      <c r="T88" s="45">
        <f t="shared" si="22"/>
        <v>0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0</v>
      </c>
      <c r="Y88" s="45">
        <f t="shared" si="22"/>
        <v>0</v>
      </c>
      <c r="Z88" s="45">
        <f t="shared" si="22"/>
        <v>5448.986000000001</v>
      </c>
      <c r="AA88" s="45">
        <f t="shared" si="22"/>
        <v>4006.443</v>
      </c>
      <c r="AB88" s="45">
        <f t="shared" si="22"/>
        <v>0</v>
      </c>
      <c r="AC88" s="45">
        <f t="shared" si="22"/>
        <v>0</v>
      </c>
      <c r="AD88" s="45">
        <f t="shared" si="22"/>
        <v>0</v>
      </c>
      <c r="AE88" s="45">
        <f t="shared" si="22"/>
        <v>0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22065.751</v>
      </c>
      <c r="AK88" s="41">
        <f t="shared" si="20"/>
        <v>-10640.536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24.271</v>
      </c>
      <c r="D89" s="45">
        <f t="shared" si="23"/>
        <v>0</v>
      </c>
      <c r="E89" s="45">
        <f t="shared" si="23"/>
        <v>0</v>
      </c>
      <c r="F89" s="45">
        <f t="shared" si="23"/>
        <v>1.497</v>
      </c>
      <c r="G89" s="45">
        <f t="shared" si="23"/>
        <v>0</v>
      </c>
      <c r="H89" s="45">
        <f t="shared" si="23"/>
        <v>0.035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2.8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1.13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5.462</v>
      </c>
      <c r="AK89" s="41">
        <f t="shared" si="20"/>
        <v>-18.809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2647.246</v>
      </c>
      <c r="D90" s="45">
        <f t="shared" si="24"/>
        <v>0</v>
      </c>
      <c r="E90" s="45">
        <f t="shared" si="24"/>
        <v>0</v>
      </c>
      <c r="F90" s="45">
        <f t="shared" si="24"/>
        <v>0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9.223</v>
      </c>
      <c r="N90" s="45">
        <f t="shared" si="24"/>
        <v>0</v>
      </c>
      <c r="O90" s="45">
        <f t="shared" si="24"/>
        <v>17.072</v>
      </c>
      <c r="P90" s="45">
        <f t="shared" si="24"/>
        <v>0</v>
      </c>
      <c r="Q90" s="45">
        <f t="shared" si="24"/>
        <v>0</v>
      </c>
      <c r="R90" s="45">
        <f t="shared" si="24"/>
        <v>0</v>
      </c>
      <c r="S90" s="45">
        <f t="shared" si="24"/>
        <v>0</v>
      </c>
      <c r="T90" s="45">
        <f t="shared" si="24"/>
        <v>10.919</v>
      </c>
      <c r="U90" s="45">
        <f t="shared" si="24"/>
        <v>0</v>
      </c>
      <c r="V90" s="45">
        <f t="shared" si="24"/>
        <v>14.63</v>
      </c>
      <c r="W90" s="45">
        <f t="shared" si="24"/>
        <v>0</v>
      </c>
      <c r="X90" s="45">
        <f t="shared" si="24"/>
        <v>0</v>
      </c>
      <c r="Y90" s="45">
        <f t="shared" si="24"/>
        <v>0</v>
      </c>
      <c r="Z90" s="45">
        <f t="shared" si="24"/>
        <v>28.208</v>
      </c>
      <c r="AA90" s="45">
        <f t="shared" si="24"/>
        <v>41.45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121.502</v>
      </c>
      <c r="AK90" s="41">
        <f t="shared" si="20"/>
        <v>-2525.744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4721.042</v>
      </c>
      <c r="D91" s="45">
        <f t="shared" si="25"/>
        <v>0</v>
      </c>
      <c r="E91" s="45">
        <f t="shared" si="25"/>
        <v>15.431000000000001</v>
      </c>
      <c r="F91" s="45">
        <f t="shared" si="25"/>
        <v>15.515</v>
      </c>
      <c r="G91" s="45">
        <f t="shared" si="25"/>
        <v>0</v>
      </c>
      <c r="H91" s="45">
        <f t="shared" si="25"/>
        <v>19.511</v>
      </c>
      <c r="I91" s="45">
        <f t="shared" si="25"/>
        <v>0</v>
      </c>
      <c r="J91" s="45">
        <f t="shared" si="25"/>
        <v>0</v>
      </c>
      <c r="K91" s="45">
        <f t="shared" si="25"/>
        <v>0</v>
      </c>
      <c r="L91" s="45">
        <f t="shared" si="25"/>
        <v>0.819</v>
      </c>
      <c r="M91" s="45">
        <f t="shared" si="25"/>
        <v>16.602</v>
      </c>
      <c r="N91" s="45">
        <f t="shared" si="25"/>
        <v>0</v>
      </c>
      <c r="O91" s="45">
        <f t="shared" si="25"/>
        <v>1.274</v>
      </c>
      <c r="P91" s="45">
        <f t="shared" si="25"/>
        <v>0</v>
      </c>
      <c r="Q91" s="45">
        <f t="shared" si="25"/>
        <v>0</v>
      </c>
      <c r="R91" s="45">
        <f t="shared" si="25"/>
        <v>0</v>
      </c>
      <c r="S91" s="45">
        <f t="shared" si="25"/>
        <v>1.12</v>
      </c>
      <c r="T91" s="45">
        <f t="shared" si="25"/>
        <v>6.345999999999999</v>
      </c>
      <c r="U91" s="45">
        <f t="shared" si="25"/>
        <v>0</v>
      </c>
      <c r="V91" s="45">
        <f t="shared" si="25"/>
        <v>3.645</v>
      </c>
      <c r="W91" s="45">
        <f t="shared" si="25"/>
        <v>0</v>
      </c>
      <c r="X91" s="45">
        <f t="shared" si="25"/>
        <v>0</v>
      </c>
      <c r="Y91" s="45">
        <f t="shared" si="25"/>
        <v>0</v>
      </c>
      <c r="Z91" s="45">
        <f t="shared" si="25"/>
        <v>8.125</v>
      </c>
      <c r="AA91" s="45">
        <f t="shared" si="25"/>
        <v>11.607000000000001</v>
      </c>
      <c r="AB91" s="45">
        <f t="shared" si="25"/>
        <v>0</v>
      </c>
      <c r="AC91" s="45">
        <f t="shared" si="25"/>
        <v>-0.16699999999999998</v>
      </c>
      <c r="AD91" s="45">
        <f t="shared" si="25"/>
        <v>0</v>
      </c>
      <c r="AE91" s="45">
        <f t="shared" si="25"/>
        <v>0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99.828</v>
      </c>
      <c r="AK91" s="41">
        <f t="shared" si="20"/>
        <v>-4621.214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221.6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-221.6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4537.3679999999995</v>
      </c>
      <c r="D93" s="45">
        <f t="shared" si="27"/>
        <v>0</v>
      </c>
      <c r="E93" s="45">
        <f t="shared" si="27"/>
        <v>6.481</v>
      </c>
      <c r="F93" s="45">
        <f t="shared" si="27"/>
        <v>652.235</v>
      </c>
      <c r="G93" s="45">
        <f t="shared" si="27"/>
        <v>0</v>
      </c>
      <c r="H93" s="45">
        <f t="shared" si="27"/>
        <v>8.163</v>
      </c>
      <c r="I93" s="45">
        <f t="shared" si="27"/>
        <v>0</v>
      </c>
      <c r="J93" s="45">
        <f t="shared" si="27"/>
        <v>0</v>
      </c>
      <c r="K93" s="45">
        <f t="shared" si="27"/>
        <v>0</v>
      </c>
      <c r="L93" s="45">
        <f t="shared" si="27"/>
        <v>1.279</v>
      </c>
      <c r="M93" s="45">
        <f t="shared" si="27"/>
        <v>5.108</v>
      </c>
      <c r="N93" s="45">
        <f t="shared" si="27"/>
        <v>0</v>
      </c>
      <c r="O93" s="45">
        <f t="shared" si="27"/>
        <v>104.84299999999999</v>
      </c>
      <c r="P93" s="45">
        <f t="shared" si="27"/>
        <v>0</v>
      </c>
      <c r="Q93" s="45">
        <f t="shared" si="27"/>
        <v>0</v>
      </c>
      <c r="R93" s="45">
        <f t="shared" si="27"/>
        <v>0</v>
      </c>
      <c r="S93" s="45">
        <f t="shared" si="27"/>
        <v>7.842</v>
      </c>
      <c r="T93" s="45">
        <f t="shared" si="27"/>
        <v>714.4060000000001</v>
      </c>
      <c r="U93" s="45">
        <f t="shared" si="27"/>
        <v>0</v>
      </c>
      <c r="V93" s="45">
        <f t="shared" si="27"/>
        <v>4.612</v>
      </c>
      <c r="W93" s="45">
        <f t="shared" si="27"/>
        <v>0</v>
      </c>
      <c r="X93" s="45">
        <f t="shared" si="27"/>
        <v>0</v>
      </c>
      <c r="Y93" s="45">
        <f t="shared" si="27"/>
        <v>0</v>
      </c>
      <c r="Z93" s="45">
        <f t="shared" si="27"/>
        <v>140.94</v>
      </c>
      <c r="AA93" s="45">
        <f t="shared" si="27"/>
        <v>13.256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0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1659.1650000000002</v>
      </c>
      <c r="AK93" s="41">
        <f t="shared" si="20"/>
        <v>-2878.2029999999995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11288.233</v>
      </c>
      <c r="D94" s="45">
        <f aca="true" t="shared" si="28" ref="D94:AJ94">D22+D28+D32+D33+D34+D40+D44+D48+D55+D61+D75+D80+D81+D86+D67+D78+D76+D35+D72+D73</f>
        <v>0</v>
      </c>
      <c r="E94" s="45">
        <f t="shared" si="28"/>
        <v>604.423</v>
      </c>
      <c r="F94" s="45">
        <f t="shared" si="28"/>
        <v>704.081</v>
      </c>
      <c r="G94" s="45">
        <f t="shared" si="28"/>
        <v>0</v>
      </c>
      <c r="H94" s="45">
        <f t="shared" si="28"/>
        <v>99.26</v>
      </c>
      <c r="I94" s="45">
        <f t="shared" si="28"/>
        <v>0</v>
      </c>
      <c r="J94" s="45">
        <f t="shared" si="28"/>
        <v>0</v>
      </c>
      <c r="K94" s="45">
        <f t="shared" si="28"/>
        <v>0</v>
      </c>
      <c r="L94" s="45">
        <f t="shared" si="28"/>
        <v>1.11</v>
      </c>
      <c r="M94" s="45">
        <f t="shared" si="28"/>
        <v>449.507</v>
      </c>
      <c r="N94" s="45">
        <f t="shared" si="28"/>
        <v>0</v>
      </c>
      <c r="O94" s="45">
        <f t="shared" si="28"/>
        <v>489.777</v>
      </c>
      <c r="P94" s="45">
        <f t="shared" si="28"/>
        <v>0</v>
      </c>
      <c r="Q94" s="45">
        <f t="shared" si="28"/>
        <v>0</v>
      </c>
      <c r="R94" s="45">
        <f t="shared" si="28"/>
        <v>0</v>
      </c>
      <c r="S94" s="45">
        <f t="shared" si="28"/>
        <v>67.664</v>
      </c>
      <c r="T94" s="45">
        <f t="shared" si="28"/>
        <v>942.283</v>
      </c>
      <c r="U94" s="45">
        <f t="shared" si="28"/>
        <v>0</v>
      </c>
      <c r="V94" s="45">
        <f t="shared" si="28"/>
        <v>133.888</v>
      </c>
      <c r="W94" s="45">
        <f t="shared" si="28"/>
        <v>0</v>
      </c>
      <c r="X94" s="45">
        <f t="shared" si="28"/>
        <v>0</v>
      </c>
      <c r="Y94" s="45">
        <f t="shared" si="28"/>
        <v>0</v>
      </c>
      <c r="Z94" s="45">
        <f t="shared" si="28"/>
        <v>248.973</v>
      </c>
      <c r="AA94" s="45">
        <f t="shared" si="28"/>
        <v>34.208</v>
      </c>
      <c r="AB94" s="45">
        <f t="shared" si="28"/>
        <v>0</v>
      </c>
      <c r="AC94" s="45">
        <f t="shared" si="28"/>
        <v>-25</v>
      </c>
      <c r="AD94" s="45">
        <f t="shared" si="28"/>
        <v>0</v>
      </c>
      <c r="AE94" s="45">
        <f t="shared" si="28"/>
        <v>0</v>
      </c>
      <c r="AF94" s="45">
        <f t="shared" si="28"/>
        <v>0</v>
      </c>
      <c r="AG94" s="45">
        <f t="shared" si="28"/>
        <v>-55.766999999999996</v>
      </c>
      <c r="AH94" s="45">
        <f t="shared" si="28"/>
        <v>0</v>
      </c>
      <c r="AI94" s="45">
        <f t="shared" si="28"/>
        <v>0</v>
      </c>
      <c r="AJ94" s="45">
        <f t="shared" si="28"/>
        <v>3694.4069999999997</v>
      </c>
      <c r="AK94" s="41">
        <f t="shared" si="20"/>
        <v>-7593.826000000001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zoomScale="80" zoomScaleNormal="80" zoomScaleSheetLayoutView="70" zoomScalePageLayoutView="0" workbookViewId="0" topLeftCell="B1">
      <pane xSplit="2" ySplit="5" topLeftCell="N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K13" sqref="AK13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7109375" style="5" customWidth="1"/>
    <col min="5" max="5" width="8.28125" style="5" customWidth="1"/>
    <col min="6" max="6" width="7.7109375" style="5" customWidth="1"/>
    <col min="7" max="8" width="4.00390625" style="5" customWidth="1"/>
    <col min="9" max="9" width="6.7109375" style="5" customWidth="1"/>
    <col min="10" max="10" width="8.140625" style="5" customWidth="1"/>
    <col min="11" max="11" width="8.7109375" style="5" customWidth="1"/>
    <col min="12" max="12" width="8.140625" style="5" customWidth="1"/>
    <col min="13" max="13" width="9.00390625" style="63" customWidth="1"/>
    <col min="14" max="15" width="3.7109375" style="5" customWidth="1"/>
    <col min="16" max="16" width="7.8515625" style="5" customWidth="1"/>
    <col min="17" max="17" width="7.57421875" style="5" customWidth="1"/>
    <col min="18" max="18" width="7.8515625" style="5" customWidth="1"/>
    <col min="19" max="19" width="6.7109375" style="5" customWidth="1"/>
    <col min="20" max="20" width="7.8515625" style="5" customWidth="1"/>
    <col min="21" max="21" width="3.7109375" style="5" customWidth="1"/>
    <col min="22" max="22" width="3.57421875" style="5" customWidth="1"/>
    <col min="23" max="23" width="7.7109375" style="5" customWidth="1"/>
    <col min="24" max="24" width="8.00390625" style="5" customWidth="1"/>
    <col min="25" max="25" width="8.421875" style="5" customWidth="1"/>
    <col min="26" max="26" width="6.7109375" style="5" customWidth="1"/>
    <col min="27" max="27" width="6.8515625" style="5" customWidth="1"/>
    <col min="28" max="28" width="4.57421875" style="5" customWidth="1"/>
    <col min="29" max="29" width="4.00390625" style="5" customWidth="1"/>
    <col min="30" max="30" width="7.7109375" style="5" customWidth="1"/>
    <col min="31" max="31" width="8.57421875" style="5" customWidth="1"/>
    <col min="32" max="32" width="7.421875" style="5" customWidth="1"/>
    <col min="33" max="33" width="8.7109375" style="5" customWidth="1"/>
    <col min="34" max="34" width="7.4218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80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/>
      <c r="E6" s="16"/>
      <c r="F6" s="17"/>
      <c r="G6" s="18"/>
      <c r="H6" s="17"/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SUM(D7:AH7)</f>
        <v>1903.3000000000002</v>
      </c>
      <c r="D7" s="15">
        <v>951.6</v>
      </c>
      <c r="E7" s="21"/>
      <c r="F7" s="17"/>
      <c r="G7" s="17"/>
      <c r="H7" s="17"/>
      <c r="I7" s="17"/>
      <c r="J7" s="17"/>
      <c r="K7" s="17"/>
      <c r="L7" s="17"/>
      <c r="M7" s="50"/>
      <c r="N7" s="22"/>
      <c r="O7" s="17"/>
      <c r="P7" s="17">
        <v>951.7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22132.399999999994</v>
      </c>
      <c r="D8" s="25">
        <f aca="true" t="shared" si="0" ref="D8:AH8">SUM(D9:D16)</f>
        <v>339.29999999999995</v>
      </c>
      <c r="E8" s="25">
        <f t="shared" si="0"/>
        <v>271.9</v>
      </c>
      <c r="F8" s="25">
        <f t="shared" si="0"/>
        <v>1631.1999999999998</v>
      </c>
      <c r="G8" s="25">
        <f t="shared" si="0"/>
        <v>0</v>
      </c>
      <c r="H8" s="25">
        <f t="shared" si="0"/>
        <v>0</v>
      </c>
      <c r="I8" s="25">
        <f t="shared" si="0"/>
        <v>1312</v>
      </c>
      <c r="J8" s="25">
        <f t="shared" si="0"/>
        <v>1669</v>
      </c>
      <c r="K8" s="25">
        <f t="shared" si="0"/>
        <v>932.0000000000001</v>
      </c>
      <c r="L8" s="25">
        <f t="shared" si="0"/>
        <v>375.1</v>
      </c>
      <c r="M8" s="25">
        <f t="shared" si="0"/>
        <v>472.79999999999995</v>
      </c>
      <c r="N8" s="25">
        <f t="shared" si="0"/>
        <v>0</v>
      </c>
      <c r="O8" s="25">
        <f t="shared" si="0"/>
        <v>0</v>
      </c>
      <c r="P8" s="25">
        <f t="shared" si="0"/>
        <v>583.9</v>
      </c>
      <c r="Q8" s="25">
        <f t="shared" si="0"/>
        <v>1378.9000000000003</v>
      </c>
      <c r="R8" s="25">
        <f t="shared" si="0"/>
        <v>1013.3</v>
      </c>
      <c r="S8" s="25">
        <f t="shared" si="0"/>
        <v>605.9</v>
      </c>
      <c r="T8" s="25">
        <f t="shared" si="0"/>
        <v>568.3000000000001</v>
      </c>
      <c r="U8" s="25">
        <f>SUM(U9:U16)</f>
        <v>0</v>
      </c>
      <c r="V8" s="25">
        <f>SUM(V9:V16)</f>
        <v>0</v>
      </c>
      <c r="W8" s="25">
        <f>SUM(W9:W16)</f>
        <v>1138.8999999999999</v>
      </c>
      <c r="X8" s="25">
        <f t="shared" si="0"/>
        <v>556.9999999999999</v>
      </c>
      <c r="Y8" s="25">
        <f t="shared" si="0"/>
        <v>1047.8999999999999</v>
      </c>
      <c r="Z8" s="25">
        <f t="shared" si="0"/>
        <v>749.4</v>
      </c>
      <c r="AA8" s="25">
        <f t="shared" si="0"/>
        <v>714.2</v>
      </c>
      <c r="AB8" s="25">
        <f t="shared" si="0"/>
        <v>0</v>
      </c>
      <c r="AC8" s="25">
        <f t="shared" si="0"/>
        <v>0</v>
      </c>
      <c r="AD8" s="25">
        <f t="shared" si="0"/>
        <v>860.3</v>
      </c>
      <c r="AE8" s="25">
        <f t="shared" si="0"/>
        <v>3167.7</v>
      </c>
      <c r="AF8" s="25">
        <f t="shared" si="0"/>
        <v>1188.6</v>
      </c>
      <c r="AG8" s="25">
        <f t="shared" si="0"/>
        <v>993.8</v>
      </c>
      <c r="AH8" s="25">
        <f t="shared" si="0"/>
        <v>561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5">
        <f aca="true" t="shared" si="1" ref="C9:C16">SUM(D9:AI9)</f>
        <v>9945.700000000003</v>
      </c>
      <c r="D9" s="82">
        <v>92.9</v>
      </c>
      <c r="E9" s="29">
        <v>114.9</v>
      </c>
      <c r="F9" s="22">
        <v>1347.2</v>
      </c>
      <c r="G9" s="22"/>
      <c r="H9" s="22"/>
      <c r="I9" s="22">
        <v>816.9</v>
      </c>
      <c r="J9" s="22">
        <v>1197</v>
      </c>
      <c r="K9" s="22">
        <v>250.6</v>
      </c>
      <c r="L9" s="22">
        <v>104.3</v>
      </c>
      <c r="M9" s="22">
        <v>243.6</v>
      </c>
      <c r="N9" s="22"/>
      <c r="O9" s="22"/>
      <c r="P9" s="22">
        <v>345.5</v>
      </c>
      <c r="Q9" s="22">
        <v>139.4</v>
      </c>
      <c r="R9" s="22">
        <v>542.4</v>
      </c>
      <c r="S9" s="22">
        <v>230.9</v>
      </c>
      <c r="T9" s="22">
        <v>167.2</v>
      </c>
      <c r="U9" s="22"/>
      <c r="V9" s="22"/>
      <c r="W9" s="22">
        <v>822.8</v>
      </c>
      <c r="X9" s="22">
        <v>232.7</v>
      </c>
      <c r="Y9" s="22">
        <v>730</v>
      </c>
      <c r="Z9" s="30">
        <v>365.3</v>
      </c>
      <c r="AA9" s="30">
        <v>242</v>
      </c>
      <c r="AB9" s="22"/>
      <c r="AC9" s="30"/>
      <c r="AD9" s="22">
        <v>375.4</v>
      </c>
      <c r="AE9" s="22">
        <v>277.7</v>
      </c>
      <c r="AF9" s="22">
        <v>369.7</v>
      </c>
      <c r="AG9" s="22">
        <v>495.2</v>
      </c>
      <c r="AH9" s="22">
        <v>442.1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5">
        <f t="shared" si="1"/>
        <v>3.2</v>
      </c>
      <c r="D10" s="82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>
        <v>3.2</v>
      </c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5">
        <f t="shared" si="1"/>
        <v>507.0999999999999</v>
      </c>
      <c r="D11" s="82"/>
      <c r="E11" s="29">
        <v>0.2</v>
      </c>
      <c r="F11" s="22">
        <v>0.1</v>
      </c>
      <c r="G11" s="22"/>
      <c r="H11" s="22"/>
      <c r="I11" s="22">
        <v>1.1</v>
      </c>
      <c r="J11" s="22">
        <v>0.4</v>
      </c>
      <c r="K11" s="22">
        <v>49.2</v>
      </c>
      <c r="L11" s="22">
        <v>0.2</v>
      </c>
      <c r="M11" s="22">
        <v>0.6</v>
      </c>
      <c r="N11" s="22"/>
      <c r="O11" s="22"/>
      <c r="P11" s="22">
        <v>1.4</v>
      </c>
      <c r="Q11" s="22">
        <v>14.2</v>
      </c>
      <c r="R11" s="22">
        <v>51.2</v>
      </c>
      <c r="S11" s="22">
        <v>0.5</v>
      </c>
      <c r="T11" s="22">
        <v>35.9</v>
      </c>
      <c r="U11" s="22"/>
      <c r="V11" s="22"/>
      <c r="W11" s="22">
        <v>5.4</v>
      </c>
      <c r="X11" s="22">
        <v>5.1</v>
      </c>
      <c r="Y11" s="22"/>
      <c r="Z11" s="30">
        <v>0.2</v>
      </c>
      <c r="AA11" s="30">
        <v>96.5</v>
      </c>
      <c r="AB11" s="22"/>
      <c r="AC11" s="30"/>
      <c r="AD11" s="22">
        <v>54.4</v>
      </c>
      <c r="AE11" s="22">
        <v>17.7</v>
      </c>
      <c r="AF11" s="22">
        <v>93.2</v>
      </c>
      <c r="AG11" s="22">
        <v>74.6</v>
      </c>
      <c r="AH11" s="22">
        <v>5</v>
      </c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5">
        <f t="shared" si="1"/>
        <v>5893.399999999999</v>
      </c>
      <c r="D12" s="82">
        <v>72.7</v>
      </c>
      <c r="E12" s="29">
        <v>28.9</v>
      </c>
      <c r="F12" s="22">
        <v>112.6</v>
      </c>
      <c r="G12" s="22"/>
      <c r="H12" s="22"/>
      <c r="I12" s="22">
        <v>380.9</v>
      </c>
      <c r="J12" s="22">
        <v>187.2</v>
      </c>
      <c r="K12" s="22">
        <v>503.1</v>
      </c>
      <c r="L12" s="22">
        <v>136.1</v>
      </c>
      <c r="M12" s="22">
        <v>72.3</v>
      </c>
      <c r="N12" s="22"/>
      <c r="O12" s="22"/>
      <c r="P12" s="22">
        <v>84.7</v>
      </c>
      <c r="Q12" s="22">
        <v>859.2</v>
      </c>
      <c r="R12" s="22">
        <v>123.5</v>
      </c>
      <c r="S12" s="22">
        <v>86.8</v>
      </c>
      <c r="T12" s="22">
        <v>80.7</v>
      </c>
      <c r="U12" s="22"/>
      <c r="V12" s="22"/>
      <c r="W12" s="22">
        <v>69.2</v>
      </c>
      <c r="X12" s="22">
        <v>148.6</v>
      </c>
      <c r="Y12" s="22">
        <v>55.4</v>
      </c>
      <c r="Z12" s="30">
        <v>322</v>
      </c>
      <c r="AA12" s="30">
        <v>79.5</v>
      </c>
      <c r="AB12" s="22"/>
      <c r="AC12" s="30"/>
      <c r="AD12" s="22">
        <v>64.8</v>
      </c>
      <c r="AE12" s="22">
        <v>2043.1</v>
      </c>
      <c r="AF12" s="22">
        <v>345.7</v>
      </c>
      <c r="AG12" s="22">
        <v>30.5</v>
      </c>
      <c r="AH12" s="22">
        <v>5.9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5">
        <f t="shared" si="1"/>
        <v>2781.6</v>
      </c>
      <c r="D13" s="82">
        <v>63.2</v>
      </c>
      <c r="E13" s="29">
        <v>7.8</v>
      </c>
      <c r="F13" s="22">
        <v>46</v>
      </c>
      <c r="G13" s="22"/>
      <c r="H13" s="22"/>
      <c r="I13" s="22">
        <v>10.8</v>
      </c>
      <c r="J13" s="22">
        <v>142.8</v>
      </c>
      <c r="K13" s="22">
        <v>55.1</v>
      </c>
      <c r="L13" s="22">
        <v>40.6</v>
      </c>
      <c r="M13" s="22">
        <v>19.8</v>
      </c>
      <c r="N13" s="22"/>
      <c r="O13" s="22"/>
      <c r="P13" s="22">
        <v>50.8</v>
      </c>
      <c r="Q13" s="22">
        <v>207.1</v>
      </c>
      <c r="R13" s="22">
        <v>43.5</v>
      </c>
      <c r="S13" s="22">
        <v>47.6</v>
      </c>
      <c r="T13" s="22">
        <v>59.1</v>
      </c>
      <c r="U13" s="22"/>
      <c r="V13" s="22"/>
      <c r="W13" s="22">
        <v>45.8</v>
      </c>
      <c r="X13" s="22">
        <v>99.7</v>
      </c>
      <c r="Y13" s="22">
        <v>102.2</v>
      </c>
      <c r="Z13" s="30">
        <v>32.3</v>
      </c>
      <c r="AA13" s="30">
        <v>176.2</v>
      </c>
      <c r="AB13" s="22"/>
      <c r="AC13" s="22"/>
      <c r="AD13" s="22">
        <v>158.3</v>
      </c>
      <c r="AE13" s="22">
        <v>734.9</v>
      </c>
      <c r="AF13" s="22">
        <v>269.7</v>
      </c>
      <c r="AG13" s="22">
        <v>344.5</v>
      </c>
      <c r="AH13" s="22">
        <v>23.8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5">
        <f t="shared" si="1"/>
        <v>2502.7</v>
      </c>
      <c r="D14" s="82">
        <v>91.1</v>
      </c>
      <c r="E14" s="29">
        <v>106</v>
      </c>
      <c r="F14" s="22">
        <v>107</v>
      </c>
      <c r="G14" s="22"/>
      <c r="H14" s="22"/>
      <c r="I14" s="22">
        <v>80</v>
      </c>
      <c r="J14" s="22">
        <v>117.3</v>
      </c>
      <c r="K14" s="22">
        <v>61.5</v>
      </c>
      <c r="L14" s="22">
        <v>83.4</v>
      </c>
      <c r="M14" s="22">
        <v>114.6</v>
      </c>
      <c r="N14" s="22"/>
      <c r="O14" s="22"/>
      <c r="P14" s="22">
        <v>86.7</v>
      </c>
      <c r="Q14" s="22">
        <v>138.4</v>
      </c>
      <c r="R14" s="22">
        <v>224.7</v>
      </c>
      <c r="S14" s="22">
        <v>223.3</v>
      </c>
      <c r="T14" s="22">
        <v>208.2</v>
      </c>
      <c r="U14" s="22"/>
      <c r="V14" s="22"/>
      <c r="W14" s="22">
        <v>156.6</v>
      </c>
      <c r="X14" s="22">
        <v>54</v>
      </c>
      <c r="Y14" s="22">
        <v>145.7</v>
      </c>
      <c r="Z14" s="30">
        <v>13.5</v>
      </c>
      <c r="AA14" s="30">
        <v>66.9</v>
      </c>
      <c r="AB14" s="22"/>
      <c r="AC14" s="30"/>
      <c r="AD14" s="22">
        <v>184.6</v>
      </c>
      <c r="AE14" s="22">
        <v>66.1</v>
      </c>
      <c r="AF14" s="22">
        <v>94.7</v>
      </c>
      <c r="AG14" s="22">
        <v>32.3</v>
      </c>
      <c r="AH14" s="22">
        <v>46.1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5">
        <f t="shared" si="1"/>
        <v>184</v>
      </c>
      <c r="D15" s="82">
        <v>13.7</v>
      </c>
      <c r="E15" s="29">
        <v>7.7</v>
      </c>
      <c r="F15" s="22">
        <v>10.2</v>
      </c>
      <c r="G15" s="22"/>
      <c r="H15" s="22"/>
      <c r="I15" s="22">
        <v>9.1</v>
      </c>
      <c r="J15" s="22">
        <v>9.3</v>
      </c>
      <c r="K15" s="22">
        <v>7.8</v>
      </c>
      <c r="L15" s="22">
        <v>5.5</v>
      </c>
      <c r="M15" s="22">
        <v>5.7</v>
      </c>
      <c r="N15" s="22"/>
      <c r="O15" s="22"/>
      <c r="P15" s="22">
        <v>9.3</v>
      </c>
      <c r="Q15" s="22">
        <v>5.7</v>
      </c>
      <c r="R15" s="22">
        <v>6.9</v>
      </c>
      <c r="S15" s="22">
        <v>7.9</v>
      </c>
      <c r="T15" s="22">
        <v>9.1</v>
      </c>
      <c r="U15" s="22"/>
      <c r="V15" s="22"/>
      <c r="W15" s="22">
        <v>6.6</v>
      </c>
      <c r="X15" s="22">
        <v>7.4</v>
      </c>
      <c r="Y15" s="22">
        <v>5.5</v>
      </c>
      <c r="Z15" s="30">
        <v>7.4</v>
      </c>
      <c r="AA15" s="30">
        <v>7.5</v>
      </c>
      <c r="AB15" s="22"/>
      <c r="AC15" s="30"/>
      <c r="AD15" s="22">
        <v>7.8</v>
      </c>
      <c r="AE15" s="22">
        <v>8.7</v>
      </c>
      <c r="AF15" s="22">
        <v>8.5</v>
      </c>
      <c r="AG15" s="22">
        <v>10.2</v>
      </c>
      <c r="AH15" s="22">
        <v>6.5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5">
        <f t="shared" si="1"/>
        <v>314.70000000000005</v>
      </c>
      <c r="D16" s="82">
        <v>5.7</v>
      </c>
      <c r="E16" s="29">
        <v>6.4</v>
      </c>
      <c r="F16" s="22">
        <v>8.1</v>
      </c>
      <c r="G16" s="22"/>
      <c r="H16" s="22"/>
      <c r="I16" s="22">
        <v>13.2</v>
      </c>
      <c r="J16" s="22">
        <v>15</v>
      </c>
      <c r="K16" s="22">
        <v>4.7</v>
      </c>
      <c r="L16" s="22">
        <v>5</v>
      </c>
      <c r="M16" s="22">
        <v>16.2</v>
      </c>
      <c r="N16" s="22"/>
      <c r="O16" s="22"/>
      <c r="P16" s="22">
        <v>5.5</v>
      </c>
      <c r="Q16" s="22">
        <v>14.9</v>
      </c>
      <c r="R16" s="22">
        <v>21.1</v>
      </c>
      <c r="S16" s="22">
        <v>8.9</v>
      </c>
      <c r="T16" s="22">
        <v>8.1</v>
      </c>
      <c r="U16" s="22"/>
      <c r="V16" s="22"/>
      <c r="W16" s="22">
        <v>32.5</v>
      </c>
      <c r="X16" s="22">
        <v>9.5</v>
      </c>
      <c r="Y16" s="22">
        <v>9.1</v>
      </c>
      <c r="Z16" s="30">
        <v>5.5</v>
      </c>
      <c r="AA16" s="30">
        <v>45.6</v>
      </c>
      <c r="AB16" s="22"/>
      <c r="AC16" s="30"/>
      <c r="AD16" s="22">
        <v>15</v>
      </c>
      <c r="AE16" s="22">
        <v>19.5</v>
      </c>
      <c r="AF16" s="22">
        <v>7.1</v>
      </c>
      <c r="AG16" s="22">
        <v>6.5</v>
      </c>
      <c r="AH16" s="22">
        <v>31.6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22723.699999999997</v>
      </c>
      <c r="D17" s="38">
        <f>SUM(D6:D8)</f>
        <v>1290.9</v>
      </c>
      <c r="E17" s="38">
        <f aca="true" t="shared" si="2" ref="E17:AH17">SUM(E6:E8)</f>
        <v>271.9</v>
      </c>
      <c r="F17" s="38">
        <f t="shared" si="2"/>
        <v>1631.1999999999998</v>
      </c>
      <c r="G17" s="38">
        <f t="shared" si="2"/>
        <v>0</v>
      </c>
      <c r="H17" s="38">
        <f t="shared" si="2"/>
        <v>0</v>
      </c>
      <c r="I17" s="38">
        <v>0</v>
      </c>
      <c r="J17" s="38">
        <f t="shared" si="2"/>
        <v>1669</v>
      </c>
      <c r="K17" s="38">
        <f t="shared" si="2"/>
        <v>932.0000000000001</v>
      </c>
      <c r="L17" s="38">
        <f t="shared" si="2"/>
        <v>375.1</v>
      </c>
      <c r="M17" s="38">
        <f t="shared" si="2"/>
        <v>472.79999999999995</v>
      </c>
      <c r="N17" s="38">
        <f t="shared" si="2"/>
        <v>0</v>
      </c>
      <c r="O17" s="38">
        <f t="shared" si="2"/>
        <v>0</v>
      </c>
      <c r="P17" s="38">
        <f t="shared" si="2"/>
        <v>1535.6</v>
      </c>
      <c r="Q17" s="38">
        <f t="shared" si="2"/>
        <v>1378.9000000000003</v>
      </c>
      <c r="R17" s="38">
        <f t="shared" si="2"/>
        <v>1013.3</v>
      </c>
      <c r="S17" s="38">
        <f t="shared" si="2"/>
        <v>605.9</v>
      </c>
      <c r="T17" s="38">
        <f t="shared" si="2"/>
        <v>568.3000000000001</v>
      </c>
      <c r="U17" s="38">
        <f t="shared" si="2"/>
        <v>0</v>
      </c>
      <c r="V17" s="38">
        <f t="shared" si="2"/>
        <v>0</v>
      </c>
      <c r="W17" s="38">
        <f t="shared" si="2"/>
        <v>1138.8999999999999</v>
      </c>
      <c r="X17" s="38">
        <f t="shared" si="2"/>
        <v>556.9999999999999</v>
      </c>
      <c r="Y17" s="38">
        <f t="shared" si="2"/>
        <v>1047.8999999999999</v>
      </c>
      <c r="Z17" s="38">
        <f t="shared" si="2"/>
        <v>749.4</v>
      </c>
      <c r="AA17" s="38">
        <f t="shared" si="2"/>
        <v>714.2</v>
      </c>
      <c r="AB17" s="38">
        <f t="shared" si="2"/>
        <v>0</v>
      </c>
      <c r="AC17" s="38">
        <f t="shared" si="2"/>
        <v>0</v>
      </c>
      <c r="AD17" s="38">
        <f t="shared" si="2"/>
        <v>860.3</v>
      </c>
      <c r="AE17" s="38">
        <f t="shared" si="2"/>
        <v>3167.7</v>
      </c>
      <c r="AF17" s="38">
        <f t="shared" si="2"/>
        <v>1188.6</v>
      </c>
      <c r="AG17" s="38">
        <f t="shared" si="2"/>
        <v>993.8</v>
      </c>
      <c r="AH17" s="38">
        <f t="shared" si="2"/>
        <v>561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46370.72200000001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0</v>
      </c>
      <c r="F18" s="40">
        <f t="shared" si="3"/>
        <v>1061.4299999999998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705.326</v>
      </c>
      <c r="K18" s="40">
        <f t="shared" si="3"/>
        <v>1523.682</v>
      </c>
      <c r="L18" s="40">
        <f t="shared" si="3"/>
        <v>0</v>
      </c>
      <c r="M18" s="40">
        <f t="shared" si="3"/>
        <v>3172.251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1359.197</v>
      </c>
      <c r="R18" s="40">
        <f t="shared" si="3"/>
        <v>837.2180000000001</v>
      </c>
      <c r="S18" s="40">
        <f t="shared" si="3"/>
        <v>0</v>
      </c>
      <c r="T18" s="40">
        <f t="shared" si="3"/>
        <v>957.6600000000001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1481.3010000000002</v>
      </c>
      <c r="Y18" s="40">
        <f t="shared" si="3"/>
        <v>836</v>
      </c>
      <c r="Z18" s="40">
        <f t="shared" si="3"/>
        <v>0</v>
      </c>
      <c r="AA18" s="40">
        <f t="shared" si="3"/>
        <v>4442.8</v>
      </c>
      <c r="AB18" s="40">
        <f t="shared" si="3"/>
        <v>0</v>
      </c>
      <c r="AC18" s="40">
        <f t="shared" si="3"/>
        <v>0</v>
      </c>
      <c r="AD18" s="40">
        <f t="shared" si="3"/>
        <v>1055.07</v>
      </c>
      <c r="AE18" s="40">
        <f t="shared" si="3"/>
        <v>1168.1</v>
      </c>
      <c r="AF18" s="40">
        <f t="shared" si="3"/>
        <v>-15.753</v>
      </c>
      <c r="AG18" s="40">
        <f t="shared" si="3"/>
        <v>2.5969999999999995</v>
      </c>
      <c r="AH18" s="40">
        <f t="shared" si="3"/>
        <v>0</v>
      </c>
      <c r="AI18" s="40">
        <f t="shared" si="3"/>
        <v>0</v>
      </c>
      <c r="AJ18" s="40">
        <f t="shared" si="3"/>
        <v>18586.879</v>
      </c>
      <c r="AK18" s="41">
        <f aca="true" t="shared" si="4" ref="AK18:AK82">AJ18-C18</f>
        <v>-27783.843000000008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7873.779</v>
      </c>
      <c r="D19" s="43">
        <f t="shared" si="5"/>
        <v>0</v>
      </c>
      <c r="E19" s="43">
        <f t="shared" si="5"/>
        <v>0</v>
      </c>
      <c r="F19" s="43">
        <f t="shared" si="5"/>
        <v>33.278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24.846000000000004</v>
      </c>
      <c r="K19" s="43">
        <f t="shared" si="5"/>
        <v>87.015</v>
      </c>
      <c r="L19" s="43">
        <f t="shared" si="5"/>
        <v>0</v>
      </c>
      <c r="M19" s="43">
        <f t="shared" si="5"/>
        <v>987.668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241.59799999999998</v>
      </c>
      <c r="R19" s="43">
        <f t="shared" si="5"/>
        <v>45.796</v>
      </c>
      <c r="S19" s="43">
        <f t="shared" si="5"/>
        <v>0</v>
      </c>
      <c r="T19" s="43">
        <f t="shared" si="5"/>
        <v>3.4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11.443000000000001</v>
      </c>
      <c r="Y19" s="43">
        <f t="shared" si="5"/>
        <v>86</v>
      </c>
      <c r="Z19" s="43">
        <f t="shared" si="5"/>
        <v>0</v>
      </c>
      <c r="AA19" s="43">
        <f t="shared" si="5"/>
        <v>345.3</v>
      </c>
      <c r="AB19" s="43">
        <f t="shared" si="5"/>
        <v>0</v>
      </c>
      <c r="AC19" s="43">
        <f t="shared" si="5"/>
        <v>0</v>
      </c>
      <c r="AD19" s="43">
        <f t="shared" si="5"/>
        <v>1055.07</v>
      </c>
      <c r="AE19" s="43">
        <f t="shared" si="5"/>
        <v>503.9</v>
      </c>
      <c r="AF19" s="43">
        <f t="shared" si="5"/>
        <v>0</v>
      </c>
      <c r="AG19" s="43">
        <f t="shared" si="5"/>
        <v>-0.412</v>
      </c>
      <c r="AH19" s="43">
        <f t="shared" si="5"/>
        <v>0</v>
      </c>
      <c r="AI19" s="43">
        <f t="shared" si="5"/>
        <v>0</v>
      </c>
      <c r="AJ19" s="43">
        <f>SUM(AJ20:AJ22)</f>
        <v>3424.902</v>
      </c>
      <c r="AK19" s="41">
        <f t="shared" si="4"/>
        <v>-4448.877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4875.733+7+22</f>
        <v>4904.733</v>
      </c>
      <c r="D20" s="45"/>
      <c r="E20" s="17"/>
      <c r="F20" s="17"/>
      <c r="G20" s="17"/>
      <c r="H20" s="17"/>
      <c r="I20" s="17"/>
      <c r="J20" s="17"/>
      <c r="K20" s="17">
        <v>74.521</v>
      </c>
      <c r="L20" s="17"/>
      <c r="M20" s="17">
        <v>962.642</v>
      </c>
      <c r="N20" s="22"/>
      <c r="O20" s="17"/>
      <c r="P20" s="17"/>
      <c r="Q20" s="17">
        <v>241.5</v>
      </c>
      <c r="R20" s="17">
        <v>30.455</v>
      </c>
      <c r="S20" s="17"/>
      <c r="T20" s="17"/>
      <c r="U20" s="17"/>
      <c r="V20" s="17"/>
      <c r="W20" s="17"/>
      <c r="X20" s="17"/>
      <c r="Y20" s="17">
        <v>86</v>
      </c>
      <c r="Z20" s="17"/>
      <c r="AA20" s="17">
        <v>337.5</v>
      </c>
      <c r="AB20" s="17"/>
      <c r="AC20" s="17"/>
      <c r="AD20" s="22">
        <v>1055.01</v>
      </c>
      <c r="AE20" s="22">
        <v>494.3</v>
      </c>
      <c r="AF20" s="22"/>
      <c r="AG20" s="22"/>
      <c r="AH20" s="17"/>
      <c r="AI20" s="17"/>
      <c r="AJ20" s="17">
        <f>SUM(D20:AI20)</f>
        <v>3281.928</v>
      </c>
      <c r="AK20" s="41">
        <f t="shared" si="4"/>
        <v>-1622.8050000000003</v>
      </c>
      <c r="AL20" s="7"/>
      <c r="AM20" s="66" t="s">
        <v>21</v>
      </c>
      <c r="AN20" s="67">
        <f>AJ19</f>
        <v>3424.902</v>
      </c>
      <c r="AO20" s="73"/>
      <c r="AP20" s="8"/>
    </row>
    <row r="21" spans="2:42" ht="15.75">
      <c r="B21" s="44" t="s">
        <v>22</v>
      </c>
      <c r="C21" s="45">
        <v>260.336</v>
      </c>
      <c r="D21" s="45"/>
      <c r="E21" s="17"/>
      <c r="F21" s="17">
        <v>12.5</v>
      </c>
      <c r="G21" s="17"/>
      <c r="H21" s="17"/>
      <c r="I21" s="17"/>
      <c r="J21" s="17">
        <v>3.426</v>
      </c>
      <c r="K21" s="17">
        <v>0.06</v>
      </c>
      <c r="L21" s="17"/>
      <c r="M21" s="17">
        <v>0.019</v>
      </c>
      <c r="N21" s="22"/>
      <c r="O21" s="17"/>
      <c r="P21" s="17"/>
      <c r="Q21" s="17">
        <v>0.052</v>
      </c>
      <c r="R21" s="17">
        <v>0.288</v>
      </c>
      <c r="S21" s="17"/>
      <c r="T21" s="17">
        <v>1</v>
      </c>
      <c r="U21" s="17"/>
      <c r="V21" s="17"/>
      <c r="W21" s="17"/>
      <c r="X21" s="17">
        <v>1.611</v>
      </c>
      <c r="Y21" s="17"/>
      <c r="Z21" s="17"/>
      <c r="AA21" s="17"/>
      <c r="AB21" s="17"/>
      <c r="AC21" s="17"/>
      <c r="AD21" s="22"/>
      <c r="AE21" s="22">
        <v>0.7</v>
      </c>
      <c r="AF21" s="22"/>
      <c r="AG21" s="22">
        <v>-0.412</v>
      </c>
      <c r="AH21" s="17"/>
      <c r="AI21" s="17"/>
      <c r="AJ21" s="17">
        <f>SUM(D21:AI21)</f>
        <v>19.244</v>
      </c>
      <c r="AK21" s="41">
        <f t="shared" si="4"/>
        <v>-241.092</v>
      </c>
      <c r="AL21" s="7"/>
      <c r="AM21" s="66" t="s">
        <v>23</v>
      </c>
      <c r="AN21" s="67">
        <f>AJ23</f>
        <v>5909.272999999999</v>
      </c>
      <c r="AO21" s="73"/>
      <c r="AP21" s="8"/>
    </row>
    <row r="22" spans="2:42" ht="15.75">
      <c r="B22" s="44" t="s">
        <v>24</v>
      </c>
      <c r="C22" s="45">
        <v>2708.71</v>
      </c>
      <c r="D22" s="45"/>
      <c r="E22" s="17"/>
      <c r="F22" s="17">
        <v>20.778</v>
      </c>
      <c r="G22" s="17"/>
      <c r="H22" s="17"/>
      <c r="I22" s="17"/>
      <c r="J22" s="17">
        <v>21.42</v>
      </c>
      <c r="K22" s="17">
        <v>12.434</v>
      </c>
      <c r="L22" s="17"/>
      <c r="M22" s="17">
        <v>25.007</v>
      </c>
      <c r="N22" s="17"/>
      <c r="O22" s="17"/>
      <c r="P22" s="17"/>
      <c r="Q22" s="17">
        <v>0.046</v>
      </c>
      <c r="R22" s="17">
        <v>15.053</v>
      </c>
      <c r="S22" s="17"/>
      <c r="T22" s="17">
        <v>2.4</v>
      </c>
      <c r="U22" s="17"/>
      <c r="V22" s="17"/>
      <c r="W22" s="17"/>
      <c r="X22" s="17">
        <v>9.832</v>
      </c>
      <c r="Y22" s="17"/>
      <c r="Z22" s="17"/>
      <c r="AA22" s="17">
        <v>7.8</v>
      </c>
      <c r="AB22" s="17"/>
      <c r="AC22" s="17"/>
      <c r="AD22" s="17">
        <v>0.06</v>
      </c>
      <c r="AE22" s="17">
        <v>8.9</v>
      </c>
      <c r="AF22" s="17"/>
      <c r="AG22" s="17"/>
      <c r="AH22" s="17"/>
      <c r="AI22" s="17"/>
      <c r="AJ22" s="17">
        <f>SUM(D22:AI22)</f>
        <v>123.73</v>
      </c>
      <c r="AK22" s="41">
        <f t="shared" si="4"/>
        <v>-2584.98</v>
      </c>
      <c r="AL22" s="7"/>
      <c r="AM22" s="66" t="s">
        <v>25</v>
      </c>
      <c r="AN22" s="67">
        <f>$AJ$29+$AJ$31</f>
        <v>235.598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22011.043</v>
      </c>
      <c r="D23" s="43">
        <f t="shared" si="6"/>
        <v>0</v>
      </c>
      <c r="E23" s="43">
        <f t="shared" si="6"/>
        <v>0</v>
      </c>
      <c r="F23" s="43">
        <f t="shared" si="6"/>
        <v>93.28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80.932</v>
      </c>
      <c r="K23" s="43">
        <f t="shared" si="6"/>
        <v>292.448</v>
      </c>
      <c r="L23" s="43">
        <f t="shared" si="6"/>
        <v>0</v>
      </c>
      <c r="M23" s="43">
        <f t="shared" si="6"/>
        <v>1490.403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586.754</v>
      </c>
      <c r="R23" s="43">
        <f t="shared" si="6"/>
        <v>777.8870000000001</v>
      </c>
      <c r="S23" s="43">
        <f t="shared" si="6"/>
        <v>0</v>
      </c>
      <c r="T23" s="43">
        <f t="shared" si="6"/>
        <v>111.76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100.772</v>
      </c>
      <c r="Y23" s="43">
        <f t="shared" si="6"/>
        <v>511.2</v>
      </c>
      <c r="Z23" s="43">
        <f t="shared" si="6"/>
        <v>0</v>
      </c>
      <c r="AA23" s="43">
        <f t="shared" si="6"/>
        <v>1787.6999999999998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88.5</v>
      </c>
      <c r="AF23" s="43">
        <f t="shared" si="6"/>
        <v>0</v>
      </c>
      <c r="AG23" s="43">
        <f t="shared" si="6"/>
        <v>-12.363</v>
      </c>
      <c r="AH23" s="43">
        <f t="shared" si="6"/>
        <v>0</v>
      </c>
      <c r="AI23" s="43">
        <f>SUM(AI24:AI28)</f>
        <v>0</v>
      </c>
      <c r="AJ23" s="43">
        <f t="shared" si="6"/>
        <v>5909.272999999999</v>
      </c>
      <c r="AK23" s="41">
        <f t="shared" si="4"/>
        <v>-16101.770000000002</v>
      </c>
      <c r="AL23" s="2"/>
      <c r="AM23" s="66" t="s">
        <v>26</v>
      </c>
      <c r="AN23" s="67">
        <f>$AJ$32+$AJ$33+$AJ$36+$AJ$41+$AJ$45+$AJ$35+$AJ$34</f>
        <v>1233.5059999999999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12344.397+6.1</f>
        <v>12350.497000000001</v>
      </c>
      <c r="D24" s="45"/>
      <c r="E24" s="17"/>
      <c r="F24" s="17">
        <v>3.818</v>
      </c>
      <c r="G24" s="17"/>
      <c r="H24" s="17"/>
      <c r="I24" s="17"/>
      <c r="J24" s="17">
        <v>16.4</v>
      </c>
      <c r="K24" s="17">
        <f>243.705+14.192</f>
        <v>257.897</v>
      </c>
      <c r="L24" s="17"/>
      <c r="M24" s="17">
        <f>1274.444+3.6+179.66</f>
        <v>1457.704</v>
      </c>
      <c r="N24" s="22"/>
      <c r="O24" s="17"/>
      <c r="P24" s="17"/>
      <c r="Q24" s="17">
        <v>505.121</v>
      </c>
      <c r="R24" s="17">
        <f>312.405+15.259+419.544</f>
        <v>747.208</v>
      </c>
      <c r="S24" s="17"/>
      <c r="T24" s="17">
        <v>59.4</v>
      </c>
      <c r="U24" s="17"/>
      <c r="V24" s="17"/>
      <c r="W24" s="17"/>
      <c r="X24" s="17">
        <v>80.901</v>
      </c>
      <c r="Y24" s="17">
        <v>501.5</v>
      </c>
      <c r="Z24" s="17"/>
      <c r="AA24" s="17">
        <v>1627.3</v>
      </c>
      <c r="AB24" s="17"/>
      <c r="AC24" s="17"/>
      <c r="AD24" s="22"/>
      <c r="AE24" s="22"/>
      <c r="AF24" s="22"/>
      <c r="AG24" s="22">
        <v>-12.363</v>
      </c>
      <c r="AH24" s="17"/>
      <c r="AI24" s="17"/>
      <c r="AJ24" s="17">
        <f>SUM(D24:AI24)</f>
        <v>5244.8859999999995</v>
      </c>
      <c r="AK24" s="41">
        <f t="shared" si="4"/>
        <v>-7105.611000000002</v>
      </c>
      <c r="AL24" s="7"/>
      <c r="AM24" s="66" t="s">
        <v>27</v>
      </c>
      <c r="AN24" s="67">
        <f>$AJ$66+$AJ$69+$AJ$77+$AJ$62+$AJ$64</f>
        <v>1725.012</v>
      </c>
      <c r="AO24" s="73"/>
      <c r="AP24" s="8"/>
    </row>
    <row r="25" spans="2:42" ht="15.75">
      <c r="B25" s="44" t="s">
        <v>28</v>
      </c>
      <c r="C25" s="45">
        <v>18.781</v>
      </c>
      <c r="D25" s="45"/>
      <c r="E25" s="17"/>
      <c r="F25" s="17"/>
      <c r="G25" s="17"/>
      <c r="H25" s="17"/>
      <c r="I25" s="17"/>
      <c r="J25" s="17"/>
      <c r="K25" s="17">
        <v>0</v>
      </c>
      <c r="L25" s="17"/>
      <c r="M25" s="17">
        <v>0.1</v>
      </c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0.1</v>
      </c>
      <c r="AK25" s="41">
        <f t="shared" si="4"/>
        <v>-18.680999999999997</v>
      </c>
      <c r="AL25" s="7"/>
      <c r="AM25" s="66" t="s">
        <v>29</v>
      </c>
      <c r="AN25" s="67">
        <f>$AJ$52</f>
        <v>467.822</v>
      </c>
      <c r="AO25" s="73"/>
      <c r="AP25" s="8"/>
    </row>
    <row r="26" spans="2:42" ht="15.75">
      <c r="B26" s="44" t="s">
        <v>30</v>
      </c>
      <c r="C26" s="45">
        <v>2730.343</v>
      </c>
      <c r="D26" s="45"/>
      <c r="E26" s="17"/>
      <c r="F26" s="17">
        <v>4.594</v>
      </c>
      <c r="G26" s="17"/>
      <c r="H26" s="17"/>
      <c r="I26" s="17"/>
      <c r="J26" s="17">
        <v>22.428</v>
      </c>
      <c r="K26" s="17">
        <v>13.808</v>
      </c>
      <c r="L26" s="17"/>
      <c r="M26" s="17">
        <v>7.689</v>
      </c>
      <c r="N26" s="22"/>
      <c r="O26" s="17"/>
      <c r="P26" s="17"/>
      <c r="Q26" s="17">
        <v>74.818</v>
      </c>
      <c r="R26" s="17">
        <v>9.414</v>
      </c>
      <c r="S26" s="17"/>
      <c r="T26" s="17">
        <v>21.6</v>
      </c>
      <c r="U26" s="17"/>
      <c r="V26" s="17"/>
      <c r="W26" s="17"/>
      <c r="X26" s="17">
        <v>7.513</v>
      </c>
      <c r="Y26" s="17"/>
      <c r="Z26" s="17"/>
      <c r="AA26" s="17">
        <v>77.1</v>
      </c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238.96399999999997</v>
      </c>
      <c r="AK26" s="41">
        <f t="shared" si="4"/>
        <v>-2491.379</v>
      </c>
      <c r="AL26" s="7"/>
      <c r="AM26" s="66" t="s">
        <v>31</v>
      </c>
      <c r="AN26" s="67">
        <f>$AJ$56</f>
        <v>566.351</v>
      </c>
      <c r="AO26" s="73"/>
      <c r="AP26" s="8"/>
    </row>
    <row r="27" spans="2:42" ht="15.75">
      <c r="B27" s="44" t="s">
        <v>22</v>
      </c>
      <c r="C27" s="45">
        <v>4243.747</v>
      </c>
      <c r="D27" s="45"/>
      <c r="E27" s="17"/>
      <c r="F27" s="17">
        <v>38.645</v>
      </c>
      <c r="G27" s="17"/>
      <c r="H27" s="17"/>
      <c r="I27" s="17"/>
      <c r="J27" s="17">
        <v>14.902</v>
      </c>
      <c r="K27" s="17">
        <v>12.466</v>
      </c>
      <c r="L27" s="17"/>
      <c r="M27" s="17">
        <v>3.95</v>
      </c>
      <c r="N27" s="22"/>
      <c r="O27" s="17"/>
      <c r="P27" s="17"/>
      <c r="Q27" s="17">
        <v>0.408</v>
      </c>
      <c r="R27" s="17">
        <v>2.166</v>
      </c>
      <c r="S27" s="17"/>
      <c r="T27" s="17">
        <v>1.7</v>
      </c>
      <c r="U27" s="17"/>
      <c r="V27" s="17"/>
      <c r="W27" s="17"/>
      <c r="X27" s="17">
        <v>3.554</v>
      </c>
      <c r="Y27" s="17">
        <v>2.9</v>
      </c>
      <c r="Z27" s="17"/>
      <c r="AA27" s="17">
        <v>22.1</v>
      </c>
      <c r="AB27" s="17"/>
      <c r="AC27" s="17"/>
      <c r="AD27" s="22"/>
      <c r="AE27" s="22">
        <v>1.9</v>
      </c>
      <c r="AF27" s="22"/>
      <c r="AG27" s="22"/>
      <c r="AH27" s="17"/>
      <c r="AI27" s="17"/>
      <c r="AJ27" s="17">
        <f>SUM(D27:AI27)</f>
        <v>104.69100000000003</v>
      </c>
      <c r="AK27" s="41">
        <f t="shared" si="4"/>
        <v>-4139.0560000000005</v>
      </c>
      <c r="AL27" s="7"/>
      <c r="AM27" s="66" t="s">
        <v>32</v>
      </c>
      <c r="AN27" s="67">
        <f>$AJ$49+$AJ$74+$AJ$80+$AJ$81+$AJ$86+$AJ$76+$AJ$78+$AJ$82+$AJ$83+$AJ$85+$AJ$79+$AJ$84</f>
        <v>5020.797</v>
      </c>
      <c r="AO27" s="73"/>
      <c r="AP27" s="8"/>
    </row>
    <row r="28" spans="2:42" ht="15.75">
      <c r="B28" s="44" t="s">
        <v>24</v>
      </c>
      <c r="C28" s="45">
        <f>2731.699-6.1+15.018+48.982-14.97-24.3-41.436-41.218</f>
        <v>2667.675</v>
      </c>
      <c r="D28" s="45"/>
      <c r="E28" s="17"/>
      <c r="F28" s="17">
        <f>32.308+13.915</f>
        <v>46.223</v>
      </c>
      <c r="G28" s="17"/>
      <c r="H28" s="17"/>
      <c r="I28" s="17"/>
      <c r="J28" s="17">
        <f>2.419+24.783</f>
        <v>27.202</v>
      </c>
      <c r="K28" s="17">
        <v>8.277</v>
      </c>
      <c r="L28" s="17"/>
      <c r="M28" s="17">
        <f>10.093+0.782+10.085</f>
        <v>20.96</v>
      </c>
      <c r="N28" s="17"/>
      <c r="O28" s="17"/>
      <c r="P28" s="17"/>
      <c r="Q28" s="17">
        <v>6.407</v>
      </c>
      <c r="R28" s="17">
        <f>0.765+12.334+6</f>
        <v>19.099</v>
      </c>
      <c r="S28" s="17"/>
      <c r="T28" s="17">
        <v>29.06</v>
      </c>
      <c r="U28" s="17"/>
      <c r="V28" s="17"/>
      <c r="W28" s="17"/>
      <c r="X28" s="17">
        <v>8.804</v>
      </c>
      <c r="Y28" s="17">
        <v>6.8</v>
      </c>
      <c r="Z28" s="17"/>
      <c r="AA28" s="17">
        <v>61.2</v>
      </c>
      <c r="AB28" s="17"/>
      <c r="AC28" s="17"/>
      <c r="AD28" s="17"/>
      <c r="AE28" s="17">
        <v>86.6</v>
      </c>
      <c r="AF28" s="17"/>
      <c r="AG28" s="17"/>
      <c r="AH28" s="17"/>
      <c r="AI28" s="17"/>
      <c r="AJ28" s="17">
        <f>SUM(D28:AI28)</f>
        <v>320.63200000000006</v>
      </c>
      <c r="AK28" s="41">
        <f t="shared" si="4"/>
        <v>-2347.043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671.615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99.09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8.911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10.711</v>
      </c>
      <c r="R29" s="43">
        <f t="shared" si="7"/>
        <v>0</v>
      </c>
      <c r="S29" s="43">
        <f t="shared" si="7"/>
        <v>0</v>
      </c>
      <c r="T29" s="43">
        <f t="shared" si="7"/>
        <v>34.4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58.786</v>
      </c>
      <c r="Y29" s="43">
        <f t="shared" si="7"/>
        <v>8.4</v>
      </c>
      <c r="Z29" s="43">
        <f t="shared" si="7"/>
        <v>0</v>
      </c>
      <c r="AA29" s="43">
        <f t="shared" si="7"/>
        <v>15.3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235.598</v>
      </c>
      <c r="AK29" s="41">
        <f t="shared" si="4"/>
        <v>-436.017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f>398.015+200+73.6</f>
        <v>671.615</v>
      </c>
      <c r="D30" s="34"/>
      <c r="E30" s="22"/>
      <c r="F30" s="22">
        <v>99.09</v>
      </c>
      <c r="G30" s="22"/>
      <c r="H30" s="22"/>
      <c r="I30" s="22"/>
      <c r="J30" s="22"/>
      <c r="K30" s="22">
        <v>8.911</v>
      </c>
      <c r="L30" s="22"/>
      <c r="M30" s="22"/>
      <c r="N30" s="22"/>
      <c r="O30" s="22"/>
      <c r="P30" s="22"/>
      <c r="Q30" s="22">
        <v>10.711</v>
      </c>
      <c r="R30" s="22"/>
      <c r="S30" s="22"/>
      <c r="T30" s="22">
        <v>34.4</v>
      </c>
      <c r="U30" s="22"/>
      <c r="V30" s="22"/>
      <c r="W30" s="22"/>
      <c r="X30" s="22">
        <v>58.786</v>
      </c>
      <c r="Y30" s="22">
        <v>8.4</v>
      </c>
      <c r="Z30" s="22"/>
      <c r="AA30" s="22">
        <v>15.3</v>
      </c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235.598</v>
      </c>
      <c r="AK30" s="41">
        <f t="shared" si="4"/>
        <v>-436.017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1505.776-150-4.496-150-107.182</f>
        <v>1094.098</v>
      </c>
      <c r="D32" s="43"/>
      <c r="E32" s="43"/>
      <c r="F32" s="43">
        <v>3.118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2.896</v>
      </c>
      <c r="R32" s="43"/>
      <c r="S32" s="43"/>
      <c r="T32" s="43"/>
      <c r="U32" s="43"/>
      <c r="V32" s="43"/>
      <c r="W32" s="43"/>
      <c r="X32" s="43">
        <v>184.05</v>
      </c>
      <c r="Y32" s="43"/>
      <c r="Z32" s="43"/>
      <c r="AA32" s="43">
        <v>1.2</v>
      </c>
      <c r="AB32" s="43"/>
      <c r="AC32" s="43"/>
      <c r="AD32" s="43"/>
      <c r="AE32" s="43"/>
      <c r="AF32" s="43"/>
      <c r="AG32" s="43">
        <v>15.372</v>
      </c>
      <c r="AH32" s="43"/>
      <c r="AI32" s="43"/>
      <c r="AJ32" s="43">
        <f>SUM(D32:AI32)</f>
        <v>206.63600000000002</v>
      </c>
      <c r="AK32" s="41">
        <f t="shared" si="4"/>
        <v>-887.462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713.115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-713.115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30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125.922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v>3.936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3.936</v>
      </c>
      <c r="AK35" s="41">
        <f t="shared" si="4"/>
        <v>-121.98599999999999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872.1120000000001</v>
      </c>
      <c r="D36" s="43">
        <f t="shared" si="8"/>
        <v>0</v>
      </c>
      <c r="E36" s="43">
        <f t="shared" si="8"/>
        <v>0</v>
      </c>
      <c r="F36" s="43">
        <f t="shared" si="8"/>
        <v>53.833000000000006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6.256</v>
      </c>
      <c r="L36" s="43">
        <f t="shared" si="8"/>
        <v>0</v>
      </c>
      <c r="M36" s="43">
        <f t="shared" si="8"/>
        <v>208.946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28.916999999999998</v>
      </c>
      <c r="Y36" s="43">
        <f t="shared" si="8"/>
        <v>0</v>
      </c>
      <c r="Z36" s="43">
        <f t="shared" si="8"/>
        <v>0</v>
      </c>
      <c r="AA36" s="43">
        <f t="shared" si="8"/>
        <v>457.3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755.252</v>
      </c>
      <c r="AK36" s="41">
        <f t="shared" si="4"/>
        <v>-116.86000000000013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775.183</v>
      </c>
      <c r="D37" s="45"/>
      <c r="E37" s="17"/>
      <c r="F37" s="17">
        <v>43.698</v>
      </c>
      <c r="G37" s="17"/>
      <c r="H37" s="17"/>
      <c r="I37" s="17"/>
      <c r="J37" s="17"/>
      <c r="K37" s="17"/>
      <c r="L37" s="17"/>
      <c r="M37" s="17">
        <v>207.397</v>
      </c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>
        <v>457.3</v>
      </c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708.395</v>
      </c>
      <c r="AK37" s="41">
        <f t="shared" si="4"/>
        <v>-66.78800000000001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1.816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-1.816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33.248</v>
      </c>
      <c r="D39" s="45"/>
      <c r="E39" s="17"/>
      <c r="F39" s="17">
        <v>2.502</v>
      </c>
      <c r="G39" s="17"/>
      <c r="H39" s="17"/>
      <c r="I39" s="17"/>
      <c r="J39" s="17"/>
      <c r="K39" s="17">
        <v>1.384</v>
      </c>
      <c r="L39" s="17"/>
      <c r="M39" s="17">
        <v>0.193</v>
      </c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>
        <v>0.767</v>
      </c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4.846</v>
      </c>
      <c r="AK39" s="41">
        <f t="shared" si="4"/>
        <v>-28.401999999999997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f>33.776+28.089</f>
        <v>61.865</v>
      </c>
      <c r="D40" s="45"/>
      <c r="E40" s="17"/>
      <c r="F40" s="17">
        <v>7.633</v>
      </c>
      <c r="G40" s="17"/>
      <c r="H40" s="17"/>
      <c r="I40" s="17"/>
      <c r="J40" s="17"/>
      <c r="K40" s="17">
        <v>4.872</v>
      </c>
      <c r="L40" s="17"/>
      <c r="M40" s="17">
        <v>1.356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28.15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42.010999999999996</v>
      </c>
      <c r="AK40" s="41">
        <f t="shared" si="4"/>
        <v>-19.854000000000006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514.2570000000001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52.304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119.10000000000001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171.40400000000002</v>
      </c>
      <c r="AK41" s="41">
        <f t="shared" si="4"/>
        <v>-342.85300000000007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f>431.232+13.1+6.9-3.24+26.55+5.85</f>
        <v>480.39200000000005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>
        <v>49.49</v>
      </c>
      <c r="R42" s="17"/>
      <c r="S42" s="17"/>
      <c r="T42" s="17"/>
      <c r="U42" s="17"/>
      <c r="V42" s="50"/>
      <c r="W42" s="17"/>
      <c r="X42" s="17"/>
      <c r="Y42" s="17"/>
      <c r="Z42" s="50"/>
      <c r="AA42" s="17">
        <v>118.7</v>
      </c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168.19</v>
      </c>
      <c r="AK42" s="41">
        <f t="shared" si="4"/>
        <v>-312.20200000000006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18.914</v>
      </c>
      <c r="D43" s="45"/>
      <c r="E43" s="17"/>
      <c r="F43" s="17"/>
      <c r="G43" s="17"/>
      <c r="H43" s="17"/>
      <c r="I43" s="17"/>
      <c r="J43" s="17"/>
      <c r="K43" s="17"/>
      <c r="L43" s="17"/>
      <c r="M43" s="17"/>
      <c r="N43" s="22"/>
      <c r="O43" s="17"/>
      <c r="P43" s="17"/>
      <c r="Q43" s="17">
        <v>0.866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0.866</v>
      </c>
      <c r="AK43" s="41">
        <f t="shared" si="4"/>
        <v>-18.048000000000002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14.951</v>
      </c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1.948</v>
      </c>
      <c r="R44" s="17"/>
      <c r="S44" s="17"/>
      <c r="T44" s="17"/>
      <c r="U44" s="17"/>
      <c r="V44" s="17"/>
      <c r="W44" s="17"/>
      <c r="X44" s="17"/>
      <c r="Y44" s="17"/>
      <c r="Z44" s="17"/>
      <c r="AA44" s="17">
        <v>0.4</v>
      </c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2.348</v>
      </c>
      <c r="AK44" s="41">
        <f t="shared" si="4"/>
        <v>-12.603000000000002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268.642</v>
      </c>
      <c r="D45" s="43">
        <f t="shared" si="10"/>
        <v>0</v>
      </c>
      <c r="E45" s="43">
        <f t="shared" si="10"/>
        <v>0</v>
      </c>
      <c r="F45" s="43">
        <f t="shared" si="10"/>
        <v>10.15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39.528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46.6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96.27799999999999</v>
      </c>
      <c r="AK45" s="41">
        <f t="shared" si="4"/>
        <v>-172.364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258.456</v>
      </c>
      <c r="D46" s="45"/>
      <c r="E46" s="17"/>
      <c r="F46" s="17">
        <v>10.15</v>
      </c>
      <c r="G46" s="17"/>
      <c r="H46" s="17"/>
      <c r="I46" s="17"/>
      <c r="J46" s="17"/>
      <c r="K46" s="17">
        <v>39.528</v>
      </c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>
        <v>46.6</v>
      </c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96.27799999999999</v>
      </c>
      <c r="AK46" s="41">
        <f t="shared" si="4"/>
        <v>-162.17800000000003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5.116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-5.116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5.07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-5.07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108.09200000000001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12.711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3.5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16.211</v>
      </c>
      <c r="AK49" s="41">
        <f t="shared" si="4"/>
        <v>-91.88100000000001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f>107.79-28.089</f>
        <v>79.70100000000001</v>
      </c>
      <c r="D50" s="34"/>
      <c r="E50" s="22"/>
      <c r="F50" s="22">
        <v>0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>
        <v>3.5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3.5</v>
      </c>
      <c r="AK50" s="41">
        <f t="shared" si="4"/>
        <v>-76.20100000000001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28.391</v>
      </c>
      <c r="D51" s="34"/>
      <c r="E51" s="22"/>
      <c r="F51" s="22">
        <v>12.711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12.711</v>
      </c>
      <c r="AK51" s="41">
        <f t="shared" si="4"/>
        <v>-15.679999999999998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1847.6080000000002</v>
      </c>
      <c r="D52" s="43">
        <f t="shared" si="12"/>
        <v>0</v>
      </c>
      <c r="E52" s="43">
        <f t="shared" si="12"/>
        <v>0</v>
      </c>
      <c r="F52" s="43">
        <f t="shared" si="12"/>
        <v>2.9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1.8929999999999998</v>
      </c>
      <c r="L52" s="43">
        <f t="shared" si="12"/>
        <v>0</v>
      </c>
      <c r="M52" s="43">
        <f t="shared" si="12"/>
        <v>193.59199999999998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5.337</v>
      </c>
      <c r="S52" s="43">
        <f t="shared" si="12"/>
        <v>0</v>
      </c>
      <c r="T52" s="43">
        <f t="shared" si="12"/>
        <v>0.5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263.6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467.822</v>
      </c>
      <c r="AK52" s="41">
        <f t="shared" si="4"/>
        <v>-1379.786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1397.499</v>
      </c>
      <c r="D53" s="45"/>
      <c r="E53" s="17"/>
      <c r="F53" s="17"/>
      <c r="G53" s="17"/>
      <c r="H53" s="17"/>
      <c r="I53" s="17"/>
      <c r="J53" s="17"/>
      <c r="K53" s="17"/>
      <c r="L53" s="17"/>
      <c r="M53" s="17">
        <v>190.045</v>
      </c>
      <c r="N53" s="22"/>
      <c r="O53" s="17"/>
      <c r="P53" s="17"/>
      <c r="Q53" s="17"/>
      <c r="R53" s="17">
        <v>5.337</v>
      </c>
      <c r="S53" s="17"/>
      <c r="T53" s="17"/>
      <c r="U53" s="17"/>
      <c r="V53" s="50"/>
      <c r="W53" s="17"/>
      <c r="X53" s="17"/>
      <c r="Y53" s="17"/>
      <c r="Z53" s="50"/>
      <c r="AA53" s="17">
        <v>263.6</v>
      </c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458.98199999999997</v>
      </c>
      <c r="AK53" s="41">
        <f t="shared" si="4"/>
        <v>-938.517</v>
      </c>
    </row>
    <row r="54" spans="2:37" ht="15.75">
      <c r="B54" s="44" t="s">
        <v>22</v>
      </c>
      <c r="C54" s="45">
        <v>146.554</v>
      </c>
      <c r="D54" s="45"/>
      <c r="E54" s="17"/>
      <c r="F54" s="17"/>
      <c r="G54" s="17"/>
      <c r="H54" s="17"/>
      <c r="I54" s="17"/>
      <c r="J54" s="17"/>
      <c r="K54" s="17">
        <v>1.658</v>
      </c>
      <c r="L54" s="17"/>
      <c r="M54" s="17">
        <v>1.651</v>
      </c>
      <c r="N54" s="22"/>
      <c r="O54" s="17"/>
      <c r="P54" s="17"/>
      <c r="Q54" s="17"/>
      <c r="R54" s="17"/>
      <c r="S54" s="17"/>
      <c r="T54" s="17">
        <v>0.5</v>
      </c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3.809</v>
      </c>
      <c r="AK54" s="41">
        <f t="shared" si="4"/>
        <v>-142.745</v>
      </c>
    </row>
    <row r="55" spans="2:38" ht="15.75">
      <c r="B55" s="44" t="s">
        <v>24</v>
      </c>
      <c r="C55" s="45">
        <v>303.555</v>
      </c>
      <c r="D55" s="45"/>
      <c r="E55" s="17"/>
      <c r="F55" s="17">
        <v>2.9</v>
      </c>
      <c r="G55" s="17"/>
      <c r="H55" s="17"/>
      <c r="I55" s="17"/>
      <c r="J55" s="17"/>
      <c r="K55" s="17">
        <v>0.235</v>
      </c>
      <c r="L55" s="17"/>
      <c r="M55" s="17">
        <v>1.896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5.031</v>
      </c>
      <c r="AK55" s="41">
        <f t="shared" si="4"/>
        <v>-298.524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1519.893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26.262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7.2</v>
      </c>
      <c r="L56" s="43">
        <f t="shared" si="13"/>
        <v>0</v>
      </c>
      <c r="M56" s="43">
        <f t="shared" si="13"/>
        <v>291.64200000000005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36.346999999999994</v>
      </c>
      <c r="Y56" s="43">
        <f t="shared" si="13"/>
        <v>16.3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188.6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566.351</v>
      </c>
      <c r="AK56" s="41">
        <f t="shared" si="4"/>
        <v>-953.542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898.628</v>
      </c>
      <c r="D57" s="45"/>
      <c r="E57" s="17"/>
      <c r="F57" s="17"/>
      <c r="G57" s="17"/>
      <c r="H57" s="17"/>
      <c r="I57" s="17"/>
      <c r="J57" s="17"/>
      <c r="K57" s="17"/>
      <c r="L57" s="17"/>
      <c r="M57" s="17">
        <v>272.134</v>
      </c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/>
      <c r="AD57" s="22"/>
      <c r="AE57" s="22">
        <v>162.2</v>
      </c>
      <c r="AF57" s="22"/>
      <c r="AG57" s="22"/>
      <c r="AH57" s="17"/>
      <c r="AI57" s="17"/>
      <c r="AJ57" s="17">
        <f>SUM(D57:AI57)</f>
        <v>434.334</v>
      </c>
      <c r="AK57" s="41">
        <f t="shared" si="4"/>
        <v>-464.29400000000004</v>
      </c>
    </row>
    <row r="58" spans="2:37" ht="15.75">
      <c r="B58" s="44" t="s">
        <v>28</v>
      </c>
      <c r="C58" s="45">
        <v>0.001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</v>
      </c>
    </row>
    <row r="59" spans="2:37" ht="15.75">
      <c r="B59" s="44" t="s">
        <v>22</v>
      </c>
      <c r="C59" s="45">
        <v>132.931</v>
      </c>
      <c r="D59" s="45"/>
      <c r="E59" s="17"/>
      <c r="F59" s="17">
        <v>3.412</v>
      </c>
      <c r="G59" s="17"/>
      <c r="H59" s="17"/>
      <c r="I59" s="17"/>
      <c r="J59" s="17"/>
      <c r="K59" s="17"/>
      <c r="L59" s="17"/>
      <c r="M59" s="17"/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>
        <v>1.48</v>
      </c>
      <c r="Y59" s="17"/>
      <c r="Z59" s="17"/>
      <c r="AA59" s="17"/>
      <c r="AB59" s="17"/>
      <c r="AC59" s="17"/>
      <c r="AD59" s="22"/>
      <c r="AE59" s="22">
        <v>0.8</v>
      </c>
      <c r="AF59" s="22"/>
      <c r="AG59" s="22"/>
      <c r="AH59" s="17"/>
      <c r="AI59" s="17"/>
      <c r="AJ59" s="17">
        <f>SUM(D59:AI59)</f>
        <v>5.691999999999999</v>
      </c>
      <c r="AK59" s="41">
        <f t="shared" si="4"/>
        <v>-127.23900000000002</v>
      </c>
    </row>
    <row r="60" spans="2:37" ht="15.75">
      <c r="B60" s="44" t="s">
        <v>34</v>
      </c>
      <c r="C60" s="45">
        <v>72.229</v>
      </c>
      <c r="D60" s="45"/>
      <c r="E60" s="17"/>
      <c r="F60" s="17">
        <v>1.32</v>
      </c>
      <c r="G60" s="17"/>
      <c r="H60" s="17"/>
      <c r="I60" s="17"/>
      <c r="J60" s="17"/>
      <c r="K60" s="17"/>
      <c r="L60" s="17"/>
      <c r="M60" s="17">
        <v>10.939</v>
      </c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14.7</v>
      </c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26.959</v>
      </c>
      <c r="AK60" s="41">
        <f t="shared" si="4"/>
        <v>-45.269999999999996</v>
      </c>
    </row>
    <row r="61" spans="2:37" ht="15.75">
      <c r="B61" s="44" t="s">
        <v>24</v>
      </c>
      <c r="C61" s="45">
        <f>443.699-27.595</f>
        <v>416.10400000000004</v>
      </c>
      <c r="D61" s="45"/>
      <c r="E61" s="17"/>
      <c r="F61" s="17">
        <v>21.53</v>
      </c>
      <c r="G61" s="17"/>
      <c r="H61" s="17"/>
      <c r="I61" s="17"/>
      <c r="J61" s="17"/>
      <c r="K61" s="17">
        <v>7.2</v>
      </c>
      <c r="L61" s="17"/>
      <c r="M61" s="17">
        <v>8.569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34.867</v>
      </c>
      <c r="Y61" s="17">
        <v>1.6</v>
      </c>
      <c r="Z61" s="17"/>
      <c r="AA61" s="17"/>
      <c r="AB61" s="17"/>
      <c r="AC61" s="17"/>
      <c r="AD61" s="17"/>
      <c r="AE61" s="17">
        <v>25.6</v>
      </c>
      <c r="AF61" s="17"/>
      <c r="AG61" s="17"/>
      <c r="AH61" s="17"/>
      <c r="AI61" s="17"/>
      <c r="AJ61" s="17">
        <f>SUM(D61:AI61)</f>
        <v>99.36599999999999</v>
      </c>
      <c r="AK61" s="41">
        <f t="shared" si="4"/>
        <v>-316.73800000000006</v>
      </c>
    </row>
    <row r="62" spans="2:37" ht="29.25">
      <c r="B62" s="42" t="s">
        <v>48</v>
      </c>
      <c r="C62" s="43">
        <f>C63</f>
        <v>171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0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0</v>
      </c>
      <c r="AK62" s="41">
        <f t="shared" si="4"/>
        <v>-171</v>
      </c>
    </row>
    <row r="63" spans="2:37" ht="15.75">
      <c r="B63" s="44" t="s">
        <v>34</v>
      </c>
      <c r="C63" s="45">
        <f>150+21</f>
        <v>171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0</v>
      </c>
      <c r="AK63" s="41">
        <f t="shared" si="4"/>
        <v>-171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4344.554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681.4019999999999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107.57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46.35</v>
      </c>
      <c r="R66" s="43">
        <f t="shared" si="16"/>
        <v>4.262</v>
      </c>
      <c r="S66" s="43">
        <f t="shared" si="16"/>
        <v>0</v>
      </c>
      <c r="T66" s="43">
        <f t="shared" si="16"/>
        <v>679.9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17.281</v>
      </c>
      <c r="Y66" s="43">
        <f t="shared" si="16"/>
        <v>16.5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187.5</v>
      </c>
      <c r="AF66" s="43">
        <f t="shared" si="16"/>
        <v>-15.753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1725.012</v>
      </c>
      <c r="AK66" s="41">
        <f t="shared" si="4"/>
        <v>-2619.5420000000004</v>
      </c>
    </row>
    <row r="67" spans="2:37" ht="15.75">
      <c r="B67" s="56" t="s">
        <v>50</v>
      </c>
      <c r="C67" s="34">
        <f>570.012-21-16-17-17</f>
        <v>499.01199999999994</v>
      </c>
      <c r="D67" s="34"/>
      <c r="E67" s="22"/>
      <c r="F67" s="22">
        <v>4.68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>
        <v>136.3</v>
      </c>
      <c r="AF67" s="22">
        <v>-15.753</v>
      </c>
      <c r="AG67" s="22"/>
      <c r="AH67" s="22"/>
      <c r="AI67" s="22"/>
      <c r="AJ67" s="22">
        <f>SUM(D67:AI67)</f>
        <v>125.22700000000002</v>
      </c>
      <c r="AK67" s="41">
        <f t="shared" si="4"/>
        <v>-373.7849999999999</v>
      </c>
    </row>
    <row r="68" spans="2:37" ht="15.75">
      <c r="B68" s="56" t="s">
        <v>34</v>
      </c>
      <c r="C68" s="34">
        <v>3845.542</v>
      </c>
      <c r="D68" s="34"/>
      <c r="E68" s="22"/>
      <c r="F68" s="22">
        <v>676.722</v>
      </c>
      <c r="G68" s="22"/>
      <c r="H68" s="22"/>
      <c r="I68" s="22"/>
      <c r="J68" s="22">
        <v>107.57</v>
      </c>
      <c r="K68" s="22"/>
      <c r="L68" s="22"/>
      <c r="M68" s="22"/>
      <c r="N68" s="22"/>
      <c r="O68" s="22"/>
      <c r="P68" s="22"/>
      <c r="Q68" s="22">
        <v>46.35</v>
      </c>
      <c r="R68" s="22">
        <v>4.262</v>
      </c>
      <c r="S68" s="22"/>
      <c r="T68" s="22">
        <v>679.9</v>
      </c>
      <c r="U68" s="22"/>
      <c r="V68" s="22"/>
      <c r="W68" s="22"/>
      <c r="X68" s="22">
        <v>17.281</v>
      </c>
      <c r="Y68" s="22">
        <v>16.5</v>
      </c>
      <c r="Z68" s="22"/>
      <c r="AA68" s="22"/>
      <c r="AB68" s="22"/>
      <c r="AC68" s="22"/>
      <c r="AD68" s="22"/>
      <c r="AE68" s="22">
        <v>51.2</v>
      </c>
      <c r="AF68" s="22"/>
      <c r="AG68" s="22"/>
      <c r="AH68" s="22"/>
      <c r="AI68" s="22"/>
      <c r="AJ68" s="22">
        <f>SUM(D68:AI68)</f>
        <v>1599.7849999999999</v>
      </c>
      <c r="AK68" s="41">
        <f t="shared" si="4"/>
        <v>-2245.757</v>
      </c>
    </row>
    <row r="69" spans="2:37" ht="15.75">
      <c r="B69" s="42" t="s">
        <v>51</v>
      </c>
      <c r="C69" s="43">
        <f>C70+C71</f>
        <v>6.275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1.961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-1.961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f>10+16+17+17</f>
        <v>60</v>
      </c>
      <c r="D73" s="81"/>
      <c r="E73" s="81"/>
      <c r="F73" s="81"/>
      <c r="G73" s="81"/>
      <c r="H73" s="81"/>
      <c r="I73" s="81"/>
      <c r="J73" s="81"/>
      <c r="K73" s="81">
        <v>3.618</v>
      </c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3.618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2876.8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1024.382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0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1033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2057.382</v>
      </c>
      <c r="AK74" s="41">
        <f t="shared" si="4"/>
        <v>-819.4180000000001</v>
      </c>
      <c r="AL74" s="26"/>
    </row>
    <row r="75" spans="2:49" s="26" customFormat="1" ht="15.75">
      <c r="B75" s="56" t="s">
        <v>50</v>
      </c>
      <c r="C75" s="34">
        <v>2876.8</v>
      </c>
      <c r="D75" s="34"/>
      <c r="E75" s="22"/>
      <c r="F75" s="22"/>
      <c r="G75" s="22"/>
      <c r="H75" s="22"/>
      <c r="I75" s="22"/>
      <c r="J75" s="22"/>
      <c r="K75" s="22">
        <v>1024.382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>
        <v>1033</v>
      </c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2057.382</v>
      </c>
      <c r="AK75" s="41">
        <f t="shared" si="4"/>
        <v>-819.4180000000001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265.9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-265.9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304.41</v>
      </c>
      <c r="D79" s="43"/>
      <c r="E79" s="43"/>
      <c r="F79" s="43">
        <v>29.206</v>
      </c>
      <c r="G79" s="43"/>
      <c r="H79" s="43"/>
      <c r="I79" s="43"/>
      <c r="J79" s="43">
        <v>8.115</v>
      </c>
      <c r="K79" s="43"/>
      <c r="L79" s="43"/>
      <c r="M79" s="43"/>
      <c r="N79" s="43"/>
      <c r="O79" s="43"/>
      <c r="P79" s="43"/>
      <c r="Q79" s="43">
        <v>45.747</v>
      </c>
      <c r="R79" s="43"/>
      <c r="S79" s="43"/>
      <c r="T79" s="43"/>
      <c r="U79" s="43"/>
      <c r="V79" s="43"/>
      <c r="W79" s="43"/>
      <c r="X79" s="43">
        <v>67.967</v>
      </c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151.035</v>
      </c>
      <c r="AK79" s="41">
        <f t="shared" si="4"/>
        <v>-153.37500000000003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f>255-255</f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18" customHeight="1">
      <c r="B84" s="42" t="s">
        <v>76</v>
      </c>
      <c r="C84" s="43">
        <v>151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>
        <v>151</v>
      </c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151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/>
      <c r="F86" s="43">
        <f>16.2</f>
        <v>16.2</v>
      </c>
      <c r="G86" s="43"/>
      <c r="H86" s="43"/>
      <c r="I86" s="43"/>
      <c r="J86" s="43">
        <f>42.435+441.428</f>
        <v>483.863</v>
      </c>
      <c r="K86" s="43">
        <v>52.431</v>
      </c>
      <c r="L86" s="43"/>
      <c r="M86" s="43"/>
      <c r="N86" s="43"/>
      <c r="O86" s="43"/>
      <c r="P86" s="43"/>
      <c r="Q86" s="43">
        <f>363.295+9.542</f>
        <v>372.837</v>
      </c>
      <c r="R86" s="43"/>
      <c r="S86" s="43"/>
      <c r="T86" s="43">
        <v>124.2</v>
      </c>
      <c r="U86" s="43"/>
      <c r="V86" s="43"/>
      <c r="W86" s="43"/>
      <c r="X86" s="43">
        <v>975.738</v>
      </c>
      <c r="Y86" s="43"/>
      <c r="Z86" s="43"/>
      <c r="AA86" s="43">
        <v>420.3</v>
      </c>
      <c r="AB86" s="43"/>
      <c r="AC86" s="43"/>
      <c r="AD86" s="43"/>
      <c r="AE86" s="43">
        <v>199.6</v>
      </c>
      <c r="AF86" s="43"/>
      <c r="AG86" s="43"/>
      <c r="AH86" s="43"/>
      <c r="AI86" s="43"/>
      <c r="AJ86" s="43">
        <f t="shared" si="19"/>
        <v>2645.169</v>
      </c>
      <c r="AK86" s="41">
        <f t="shared" si="20"/>
        <v>2645.169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46370.72200000001</v>
      </c>
      <c r="D87" s="59">
        <f aca="true" t="shared" si="21" ref="D87:AJ87">SUM(D88:D94)</f>
        <v>0</v>
      </c>
      <c r="E87" s="59">
        <f t="shared" si="21"/>
        <v>0</v>
      </c>
      <c r="F87" s="59">
        <f t="shared" si="21"/>
        <v>1061.4299999999998</v>
      </c>
      <c r="G87" s="59">
        <f t="shared" si="21"/>
        <v>0</v>
      </c>
      <c r="H87" s="59">
        <f t="shared" si="21"/>
        <v>0</v>
      </c>
      <c r="I87" s="59">
        <f t="shared" si="21"/>
        <v>0</v>
      </c>
      <c r="J87" s="59">
        <f t="shared" si="21"/>
        <v>705.326</v>
      </c>
      <c r="K87" s="59">
        <f t="shared" si="21"/>
        <v>1523.682</v>
      </c>
      <c r="L87" s="59">
        <f t="shared" si="21"/>
        <v>0</v>
      </c>
      <c r="M87" s="59">
        <f t="shared" si="21"/>
        <v>3172.2509999999997</v>
      </c>
      <c r="N87" s="59">
        <f t="shared" si="21"/>
        <v>0</v>
      </c>
      <c r="O87" s="59">
        <f t="shared" si="21"/>
        <v>0</v>
      </c>
      <c r="P87" s="59">
        <f t="shared" si="21"/>
        <v>0</v>
      </c>
      <c r="Q87" s="59">
        <f t="shared" si="21"/>
        <v>1359.1970000000001</v>
      </c>
      <c r="R87" s="59">
        <f t="shared" si="21"/>
        <v>837.2179999999998</v>
      </c>
      <c r="S87" s="59">
        <f t="shared" si="21"/>
        <v>0</v>
      </c>
      <c r="T87" s="59">
        <f t="shared" si="21"/>
        <v>957.66</v>
      </c>
      <c r="U87" s="59">
        <f t="shared" si="21"/>
        <v>0</v>
      </c>
      <c r="V87" s="59">
        <f t="shared" si="21"/>
        <v>0</v>
      </c>
      <c r="W87" s="59">
        <f t="shared" si="21"/>
        <v>0</v>
      </c>
      <c r="X87" s="59">
        <f t="shared" si="21"/>
        <v>1481.301</v>
      </c>
      <c r="Y87" s="59">
        <f t="shared" si="21"/>
        <v>836</v>
      </c>
      <c r="Z87" s="59">
        <f t="shared" si="21"/>
        <v>0</v>
      </c>
      <c r="AA87" s="59">
        <f t="shared" si="21"/>
        <v>4442.799999999999</v>
      </c>
      <c r="AB87" s="59">
        <f t="shared" si="21"/>
        <v>0</v>
      </c>
      <c r="AC87" s="59">
        <f t="shared" si="21"/>
        <v>0</v>
      </c>
      <c r="AD87" s="59">
        <f t="shared" si="21"/>
        <v>1055.07</v>
      </c>
      <c r="AE87" s="59">
        <f t="shared" si="21"/>
        <v>1168.1</v>
      </c>
      <c r="AF87" s="59">
        <f t="shared" si="21"/>
        <v>-15.753</v>
      </c>
      <c r="AG87" s="59">
        <f t="shared" si="21"/>
        <v>2.5969999999999995</v>
      </c>
      <c r="AH87" s="59">
        <f t="shared" si="21"/>
        <v>0</v>
      </c>
      <c r="AI87" s="59">
        <f t="shared" si="21"/>
        <v>0</v>
      </c>
      <c r="AJ87" s="59">
        <f t="shared" si="21"/>
        <v>18586.878999999997</v>
      </c>
      <c r="AK87" s="41">
        <f t="shared" si="20"/>
        <v>-27783.84300000001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21145.089</v>
      </c>
      <c r="D88" s="45">
        <f t="shared" si="22"/>
        <v>0</v>
      </c>
      <c r="E88" s="45">
        <f t="shared" si="22"/>
        <v>0</v>
      </c>
      <c r="F88" s="45">
        <f t="shared" si="22"/>
        <v>57.666</v>
      </c>
      <c r="G88" s="45">
        <f t="shared" si="22"/>
        <v>0</v>
      </c>
      <c r="H88" s="45">
        <f t="shared" si="22"/>
        <v>0</v>
      </c>
      <c r="I88" s="45">
        <f t="shared" si="22"/>
        <v>0</v>
      </c>
      <c r="J88" s="45">
        <f t="shared" si="22"/>
        <v>16.4</v>
      </c>
      <c r="K88" s="45">
        <f t="shared" si="22"/>
        <v>371.946</v>
      </c>
      <c r="L88" s="45">
        <f t="shared" si="22"/>
        <v>0</v>
      </c>
      <c r="M88" s="45">
        <f t="shared" si="22"/>
        <v>3089.922</v>
      </c>
      <c r="N88" s="45">
        <f t="shared" si="22"/>
        <v>0</v>
      </c>
      <c r="O88" s="45">
        <f t="shared" si="22"/>
        <v>0</v>
      </c>
      <c r="P88" s="45">
        <f t="shared" si="22"/>
        <v>0</v>
      </c>
      <c r="Q88" s="45">
        <f t="shared" si="22"/>
        <v>796.111</v>
      </c>
      <c r="R88" s="45">
        <f t="shared" si="22"/>
        <v>783</v>
      </c>
      <c r="S88" s="45">
        <f t="shared" si="22"/>
        <v>0</v>
      </c>
      <c r="T88" s="45">
        <f t="shared" si="22"/>
        <v>62.9</v>
      </c>
      <c r="U88" s="45">
        <f t="shared" si="22"/>
        <v>0</v>
      </c>
      <c r="V88" s="45">
        <f t="shared" si="22"/>
        <v>0</v>
      </c>
      <c r="W88" s="45">
        <f t="shared" si="22"/>
        <v>0</v>
      </c>
      <c r="X88" s="45">
        <f t="shared" si="22"/>
        <v>80.901</v>
      </c>
      <c r="Y88" s="45">
        <f t="shared" si="22"/>
        <v>634.1</v>
      </c>
      <c r="Z88" s="45">
        <f t="shared" si="22"/>
        <v>0</v>
      </c>
      <c r="AA88" s="45">
        <f t="shared" si="22"/>
        <v>2804.3999999999996</v>
      </c>
      <c r="AB88" s="45">
        <f t="shared" si="22"/>
        <v>0</v>
      </c>
      <c r="AC88" s="45">
        <f t="shared" si="22"/>
        <v>0</v>
      </c>
      <c r="AD88" s="45">
        <f t="shared" si="22"/>
        <v>1055.01</v>
      </c>
      <c r="AE88" s="45">
        <f t="shared" si="22"/>
        <v>656.5</v>
      </c>
      <c r="AF88" s="45">
        <f t="shared" si="22"/>
        <v>0</v>
      </c>
      <c r="AG88" s="45">
        <f t="shared" si="22"/>
        <v>-12.363</v>
      </c>
      <c r="AH88" s="45">
        <f t="shared" si="22"/>
        <v>0</v>
      </c>
      <c r="AI88" s="45">
        <f t="shared" si="22"/>
        <v>0</v>
      </c>
      <c r="AJ88" s="45">
        <f t="shared" si="22"/>
        <v>10396.492999999999</v>
      </c>
      <c r="AK88" s="41">
        <f t="shared" si="20"/>
        <v>-10748.596000000001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20.598</v>
      </c>
      <c r="D89" s="45">
        <f t="shared" si="23"/>
        <v>0</v>
      </c>
      <c r="E89" s="45">
        <f t="shared" si="23"/>
        <v>0</v>
      </c>
      <c r="F89" s="45">
        <f t="shared" si="23"/>
        <v>0</v>
      </c>
      <c r="G89" s="45">
        <f t="shared" si="23"/>
        <v>0</v>
      </c>
      <c r="H89" s="45">
        <f t="shared" si="23"/>
        <v>0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0.1</v>
      </c>
      <c r="N89" s="45">
        <f t="shared" si="23"/>
        <v>0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0</v>
      </c>
      <c r="U89" s="45">
        <f t="shared" si="23"/>
        <v>0</v>
      </c>
      <c r="V89" s="45">
        <f t="shared" si="23"/>
        <v>0</v>
      </c>
      <c r="W89" s="45">
        <f t="shared" si="23"/>
        <v>0</v>
      </c>
      <c r="X89" s="45">
        <f t="shared" si="23"/>
        <v>0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0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0.1</v>
      </c>
      <c r="AK89" s="41">
        <f t="shared" si="20"/>
        <v>-20.497999999999998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2730.343</v>
      </c>
      <c r="D90" s="45">
        <f t="shared" si="24"/>
        <v>0</v>
      </c>
      <c r="E90" s="45">
        <f t="shared" si="24"/>
        <v>0</v>
      </c>
      <c r="F90" s="45">
        <f t="shared" si="24"/>
        <v>4.594</v>
      </c>
      <c r="G90" s="45">
        <f t="shared" si="24"/>
        <v>0</v>
      </c>
      <c r="H90" s="45">
        <f t="shared" si="24"/>
        <v>0</v>
      </c>
      <c r="I90" s="45">
        <f t="shared" si="24"/>
        <v>0</v>
      </c>
      <c r="J90" s="45">
        <f t="shared" si="24"/>
        <v>22.428</v>
      </c>
      <c r="K90" s="45">
        <f t="shared" si="24"/>
        <v>13.808</v>
      </c>
      <c r="L90" s="45">
        <f t="shared" si="24"/>
        <v>0</v>
      </c>
      <c r="M90" s="45">
        <f t="shared" si="24"/>
        <v>7.689</v>
      </c>
      <c r="N90" s="45">
        <f t="shared" si="24"/>
        <v>0</v>
      </c>
      <c r="O90" s="45">
        <f t="shared" si="24"/>
        <v>0</v>
      </c>
      <c r="P90" s="45">
        <f t="shared" si="24"/>
        <v>0</v>
      </c>
      <c r="Q90" s="45">
        <f t="shared" si="24"/>
        <v>74.818</v>
      </c>
      <c r="R90" s="45">
        <f t="shared" si="24"/>
        <v>9.414</v>
      </c>
      <c r="S90" s="45">
        <f t="shared" si="24"/>
        <v>0</v>
      </c>
      <c r="T90" s="45">
        <f t="shared" si="24"/>
        <v>21.6</v>
      </c>
      <c r="U90" s="45">
        <f t="shared" si="24"/>
        <v>0</v>
      </c>
      <c r="V90" s="45">
        <f t="shared" si="24"/>
        <v>0</v>
      </c>
      <c r="W90" s="45">
        <f t="shared" si="24"/>
        <v>0</v>
      </c>
      <c r="X90" s="45">
        <f t="shared" si="24"/>
        <v>7.513</v>
      </c>
      <c r="Y90" s="45">
        <f t="shared" si="24"/>
        <v>0</v>
      </c>
      <c r="Z90" s="45">
        <f t="shared" si="24"/>
        <v>0</v>
      </c>
      <c r="AA90" s="45">
        <f t="shared" si="24"/>
        <v>77.1</v>
      </c>
      <c r="AB90" s="45">
        <f t="shared" si="24"/>
        <v>0</v>
      </c>
      <c r="AC90" s="45">
        <f t="shared" si="24"/>
        <v>0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238.96399999999997</v>
      </c>
      <c r="AK90" s="41">
        <f t="shared" si="20"/>
        <v>-2491.379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4845.16</v>
      </c>
      <c r="D91" s="45">
        <f t="shared" si="25"/>
        <v>0</v>
      </c>
      <c r="E91" s="45">
        <f t="shared" si="25"/>
        <v>0</v>
      </c>
      <c r="F91" s="45">
        <f t="shared" si="25"/>
        <v>57.059000000000005</v>
      </c>
      <c r="G91" s="45">
        <f t="shared" si="25"/>
        <v>0</v>
      </c>
      <c r="H91" s="45">
        <f t="shared" si="25"/>
        <v>0</v>
      </c>
      <c r="I91" s="45">
        <f t="shared" si="25"/>
        <v>0</v>
      </c>
      <c r="J91" s="45">
        <f t="shared" si="25"/>
        <v>18.328</v>
      </c>
      <c r="K91" s="45">
        <f t="shared" si="25"/>
        <v>15.568</v>
      </c>
      <c r="L91" s="45">
        <f t="shared" si="25"/>
        <v>0</v>
      </c>
      <c r="M91" s="45">
        <f t="shared" si="25"/>
        <v>5.813</v>
      </c>
      <c r="N91" s="45">
        <f t="shared" si="25"/>
        <v>0</v>
      </c>
      <c r="O91" s="45">
        <f t="shared" si="25"/>
        <v>0</v>
      </c>
      <c r="P91" s="45">
        <f t="shared" si="25"/>
        <v>0</v>
      </c>
      <c r="Q91" s="45">
        <f t="shared" si="25"/>
        <v>1.326</v>
      </c>
      <c r="R91" s="45">
        <f t="shared" si="25"/>
        <v>2.4539999999999997</v>
      </c>
      <c r="S91" s="45">
        <f t="shared" si="25"/>
        <v>0</v>
      </c>
      <c r="T91" s="45">
        <f t="shared" si="25"/>
        <v>3.2</v>
      </c>
      <c r="U91" s="45">
        <f t="shared" si="25"/>
        <v>0</v>
      </c>
      <c r="V91" s="45">
        <f t="shared" si="25"/>
        <v>0</v>
      </c>
      <c r="W91" s="45">
        <f t="shared" si="25"/>
        <v>0</v>
      </c>
      <c r="X91" s="45">
        <f t="shared" si="25"/>
        <v>7.412000000000001</v>
      </c>
      <c r="Y91" s="45">
        <f t="shared" si="25"/>
        <v>2.9</v>
      </c>
      <c r="Z91" s="45">
        <f t="shared" si="25"/>
        <v>0</v>
      </c>
      <c r="AA91" s="45">
        <f t="shared" si="25"/>
        <v>22.1</v>
      </c>
      <c r="AB91" s="45">
        <f t="shared" si="25"/>
        <v>0</v>
      </c>
      <c r="AC91" s="45">
        <f t="shared" si="25"/>
        <v>0</v>
      </c>
      <c r="AD91" s="45">
        <f t="shared" si="25"/>
        <v>0</v>
      </c>
      <c r="AE91" s="45">
        <f t="shared" si="25"/>
        <v>3.3999999999999995</v>
      </c>
      <c r="AF91" s="45">
        <f t="shared" si="25"/>
        <v>0</v>
      </c>
      <c r="AG91" s="45">
        <f t="shared" si="25"/>
        <v>-0.412</v>
      </c>
      <c r="AH91" s="45">
        <f t="shared" si="25"/>
        <v>0</v>
      </c>
      <c r="AI91" s="45">
        <f t="shared" si="25"/>
        <v>0</v>
      </c>
      <c r="AJ91" s="45">
        <f t="shared" si="25"/>
        <v>139.14800000000005</v>
      </c>
      <c r="AK91" s="41">
        <f t="shared" si="20"/>
        <v>-4706.012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265.9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-265.9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5246.148</v>
      </c>
      <c r="D93" s="45">
        <f t="shared" si="27"/>
        <v>0</v>
      </c>
      <c r="E93" s="45">
        <f t="shared" si="27"/>
        <v>0</v>
      </c>
      <c r="F93" s="45">
        <f t="shared" si="27"/>
        <v>819.049</v>
      </c>
      <c r="G93" s="45">
        <f t="shared" si="27"/>
        <v>0</v>
      </c>
      <c r="H93" s="45">
        <f t="shared" si="27"/>
        <v>0</v>
      </c>
      <c r="I93" s="45">
        <f t="shared" si="27"/>
        <v>0</v>
      </c>
      <c r="J93" s="45">
        <f t="shared" si="27"/>
        <v>115.68499999999999</v>
      </c>
      <c r="K93" s="45">
        <f t="shared" si="27"/>
        <v>8.911</v>
      </c>
      <c r="L93" s="45">
        <f t="shared" si="27"/>
        <v>0</v>
      </c>
      <c r="M93" s="45">
        <f t="shared" si="27"/>
        <v>10.939</v>
      </c>
      <c r="N93" s="45">
        <f t="shared" si="27"/>
        <v>0</v>
      </c>
      <c r="O93" s="45">
        <f t="shared" si="27"/>
        <v>0</v>
      </c>
      <c r="P93" s="45">
        <f t="shared" si="27"/>
        <v>0</v>
      </c>
      <c r="Q93" s="45">
        <f t="shared" si="27"/>
        <v>102.80799999999999</v>
      </c>
      <c r="R93" s="45">
        <f t="shared" si="27"/>
        <v>4.262</v>
      </c>
      <c r="S93" s="45">
        <f t="shared" si="27"/>
        <v>0</v>
      </c>
      <c r="T93" s="45">
        <f t="shared" si="27"/>
        <v>714.3</v>
      </c>
      <c r="U93" s="45">
        <f t="shared" si="27"/>
        <v>0</v>
      </c>
      <c r="V93" s="45">
        <f t="shared" si="27"/>
        <v>0</v>
      </c>
      <c r="W93" s="45">
        <f t="shared" si="27"/>
        <v>0</v>
      </c>
      <c r="X93" s="45">
        <f t="shared" si="27"/>
        <v>144.034</v>
      </c>
      <c r="Y93" s="45">
        <f t="shared" si="27"/>
        <v>190.6</v>
      </c>
      <c r="Z93" s="45">
        <f t="shared" si="27"/>
        <v>0</v>
      </c>
      <c r="AA93" s="45">
        <f t="shared" si="27"/>
        <v>15.3</v>
      </c>
      <c r="AB93" s="45">
        <f t="shared" si="27"/>
        <v>0</v>
      </c>
      <c r="AC93" s="45">
        <f t="shared" si="27"/>
        <v>0</v>
      </c>
      <c r="AD93" s="45">
        <f t="shared" si="27"/>
        <v>0</v>
      </c>
      <c r="AE93" s="45">
        <f t="shared" si="27"/>
        <v>51.2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2177.0879999999997</v>
      </c>
      <c r="AK93" s="41">
        <f t="shared" si="20"/>
        <v>-3069.0600000000004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12117.484</v>
      </c>
      <c r="D94" s="45">
        <f aca="true" t="shared" si="28" ref="D94:AJ94">D22+D28+D32+D33+D34+D40+D44+D48+D55+D61+D75+D80+D81+D86+D67+D78+D76+D35+D72+D73</f>
        <v>0</v>
      </c>
      <c r="E94" s="45">
        <f t="shared" si="28"/>
        <v>0</v>
      </c>
      <c r="F94" s="45">
        <f t="shared" si="28"/>
        <v>123.06200000000001</v>
      </c>
      <c r="G94" s="45">
        <f t="shared" si="28"/>
        <v>0</v>
      </c>
      <c r="H94" s="45">
        <f t="shared" si="28"/>
        <v>0</v>
      </c>
      <c r="I94" s="45">
        <f t="shared" si="28"/>
        <v>0</v>
      </c>
      <c r="J94" s="45">
        <f t="shared" si="28"/>
        <v>532.485</v>
      </c>
      <c r="K94" s="45">
        <f t="shared" si="28"/>
        <v>1113.449</v>
      </c>
      <c r="L94" s="45">
        <f t="shared" si="28"/>
        <v>0</v>
      </c>
      <c r="M94" s="45">
        <f t="shared" si="28"/>
        <v>57.788000000000004</v>
      </c>
      <c r="N94" s="45">
        <f t="shared" si="28"/>
        <v>0</v>
      </c>
      <c r="O94" s="45">
        <f t="shared" si="28"/>
        <v>0</v>
      </c>
      <c r="P94" s="45">
        <f t="shared" si="28"/>
        <v>0</v>
      </c>
      <c r="Q94" s="45">
        <f t="shared" si="28"/>
        <v>384.134</v>
      </c>
      <c r="R94" s="45">
        <f t="shared" si="28"/>
        <v>38.088</v>
      </c>
      <c r="S94" s="45">
        <f t="shared" si="28"/>
        <v>0</v>
      </c>
      <c r="T94" s="45">
        <f t="shared" si="28"/>
        <v>155.66</v>
      </c>
      <c r="U94" s="45">
        <f t="shared" si="28"/>
        <v>0</v>
      </c>
      <c r="V94" s="45">
        <f t="shared" si="28"/>
        <v>0</v>
      </c>
      <c r="W94" s="45">
        <f t="shared" si="28"/>
        <v>0</v>
      </c>
      <c r="X94" s="45">
        <f t="shared" si="28"/>
        <v>1241.441</v>
      </c>
      <c r="Y94" s="45">
        <f t="shared" si="28"/>
        <v>8.4</v>
      </c>
      <c r="Z94" s="45">
        <f t="shared" si="28"/>
        <v>0</v>
      </c>
      <c r="AA94" s="45">
        <f t="shared" si="28"/>
        <v>1523.8999999999999</v>
      </c>
      <c r="AB94" s="45">
        <f t="shared" si="28"/>
        <v>0</v>
      </c>
      <c r="AC94" s="45">
        <f t="shared" si="28"/>
        <v>0</v>
      </c>
      <c r="AD94" s="45">
        <f t="shared" si="28"/>
        <v>0.06</v>
      </c>
      <c r="AE94" s="45">
        <f t="shared" si="28"/>
        <v>457</v>
      </c>
      <c r="AF94" s="45">
        <f t="shared" si="28"/>
        <v>-15.753</v>
      </c>
      <c r="AG94" s="45">
        <f t="shared" si="28"/>
        <v>15.372</v>
      </c>
      <c r="AH94" s="45">
        <f t="shared" si="28"/>
        <v>0</v>
      </c>
      <c r="AI94" s="45">
        <f t="shared" si="28"/>
        <v>0</v>
      </c>
      <c r="AJ94" s="45">
        <f t="shared" si="28"/>
        <v>5635.086</v>
      </c>
      <c r="AK94" s="41">
        <f t="shared" si="20"/>
        <v>-6482.398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AW179"/>
  <sheetViews>
    <sheetView tabSelected="1" zoomScale="80" zoomScaleNormal="80" zoomScaleSheetLayoutView="70" zoomScalePageLayoutView="0" workbookViewId="0" topLeftCell="B1">
      <pane xSplit="2" ySplit="5" topLeftCell="AH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X12" sqref="AX1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4.421875" style="5" customWidth="1"/>
    <col min="5" max="5" width="4.28125" style="5" customWidth="1"/>
    <col min="6" max="6" width="7.7109375" style="5" customWidth="1"/>
    <col min="7" max="7" width="6.57421875" style="5" customWidth="1"/>
    <col min="8" max="8" width="6.8515625" style="5" customWidth="1"/>
    <col min="9" max="9" width="6.7109375" style="5" customWidth="1"/>
    <col min="10" max="10" width="8.140625" style="5" customWidth="1"/>
    <col min="11" max="12" width="4.28125" style="5" customWidth="1"/>
    <col min="13" max="13" width="9.00390625" style="63" customWidth="1"/>
    <col min="14" max="14" width="8.00390625" style="5" customWidth="1"/>
    <col min="15" max="16" width="7.8515625" style="5" customWidth="1"/>
    <col min="17" max="17" width="7.57421875" style="5" customWidth="1"/>
    <col min="18" max="18" width="4.8515625" style="5" customWidth="1"/>
    <col min="19" max="19" width="4.140625" style="5" customWidth="1"/>
    <col min="20" max="20" width="7.8515625" style="5" customWidth="1"/>
    <col min="21" max="21" width="7.57421875" style="5" customWidth="1"/>
    <col min="22" max="22" width="7.140625" style="5" customWidth="1"/>
    <col min="23" max="23" width="7.7109375" style="5" customWidth="1"/>
    <col min="24" max="24" width="8.00390625" style="5" customWidth="1"/>
    <col min="25" max="25" width="4.421875" style="5" customWidth="1"/>
    <col min="26" max="26" width="4.140625" style="5" customWidth="1"/>
    <col min="27" max="27" width="3.7109375" style="5" customWidth="1"/>
    <col min="28" max="28" width="7.28125" style="5" customWidth="1"/>
    <col min="29" max="29" width="7.57421875" style="5" customWidth="1"/>
    <col min="30" max="30" width="7.7109375" style="5" customWidth="1"/>
    <col min="31" max="31" width="8.57421875" style="5" customWidth="1"/>
    <col min="32" max="32" width="3.7109375" style="5" customWidth="1"/>
    <col min="33" max="33" width="3.57421875" style="5" customWidth="1"/>
    <col min="34" max="34" width="7.4218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87" t="s">
        <v>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8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SUM(D6:AH6)</f>
        <v>108.56</v>
      </c>
      <c r="D6" s="15"/>
      <c r="E6" s="16"/>
      <c r="F6" s="17">
        <v>10.8</v>
      </c>
      <c r="G6" s="18">
        <v>32.4</v>
      </c>
      <c r="H6" s="17">
        <v>20</v>
      </c>
      <c r="I6" s="18"/>
      <c r="J6" s="18"/>
      <c r="K6" s="18"/>
      <c r="L6" s="18"/>
      <c r="M6" s="84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>
        <v>45.36</v>
      </c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 aca="true" t="shared" si="0" ref="C7:C16">SUM(D7:AH7)</f>
        <v>2229.6</v>
      </c>
      <c r="D7" s="15"/>
      <c r="E7" s="21"/>
      <c r="F7" s="17">
        <v>1114.8</v>
      </c>
      <c r="G7" s="17">
        <v>0</v>
      </c>
      <c r="H7" s="17">
        <v>0</v>
      </c>
      <c r="I7" s="17"/>
      <c r="J7" s="17"/>
      <c r="K7" s="17"/>
      <c r="L7" s="17"/>
      <c r="M7" s="50"/>
      <c r="N7" s="22">
        <v>1114.8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86">
        <f t="shared" si="0"/>
        <v>19941.513000000003</v>
      </c>
      <c r="D8" s="25">
        <f aca="true" t="shared" si="1" ref="D8:AH8">SUM(D9:D16)</f>
        <v>0</v>
      </c>
      <c r="E8" s="25">
        <f t="shared" si="1"/>
        <v>0</v>
      </c>
      <c r="F8" s="25">
        <f t="shared" si="1"/>
        <v>298.59599999999995</v>
      </c>
      <c r="G8" s="25">
        <f t="shared" si="1"/>
        <v>425.98400000000004</v>
      </c>
      <c r="H8" s="25">
        <f t="shared" si="1"/>
        <v>371.923</v>
      </c>
      <c r="I8" s="25">
        <f t="shared" si="1"/>
        <v>870.527</v>
      </c>
      <c r="J8" s="25">
        <f t="shared" si="1"/>
        <v>2857.359</v>
      </c>
      <c r="K8" s="25">
        <f t="shared" si="1"/>
        <v>0</v>
      </c>
      <c r="L8" s="25">
        <f t="shared" si="1"/>
        <v>0</v>
      </c>
      <c r="M8" s="25">
        <f t="shared" si="1"/>
        <v>546.565</v>
      </c>
      <c r="N8" s="25">
        <f t="shared" si="1"/>
        <v>650.377</v>
      </c>
      <c r="O8" s="25">
        <f t="shared" si="1"/>
        <v>790.391</v>
      </c>
      <c r="P8" s="25">
        <f t="shared" si="1"/>
        <v>663.508</v>
      </c>
      <c r="Q8" s="25">
        <f t="shared" si="1"/>
        <v>1021.4360000000001</v>
      </c>
      <c r="R8" s="25">
        <f t="shared" si="1"/>
        <v>0</v>
      </c>
      <c r="S8" s="25">
        <f t="shared" si="1"/>
        <v>0</v>
      </c>
      <c r="T8" s="25">
        <f t="shared" si="1"/>
        <v>748.3610000000001</v>
      </c>
      <c r="U8" s="25">
        <f>SUM(U9:U16)</f>
        <v>611.0070000000001</v>
      </c>
      <c r="V8" s="25">
        <f>SUM(V9:V16)</f>
        <v>597.2570000000001</v>
      </c>
      <c r="W8" s="25">
        <f>SUM(W9:W16)</f>
        <v>1126.505</v>
      </c>
      <c r="X8" s="25">
        <f t="shared" si="1"/>
        <v>1292.9210000000003</v>
      </c>
      <c r="Y8" s="25">
        <f t="shared" si="1"/>
        <v>0</v>
      </c>
      <c r="Z8" s="25">
        <f t="shared" si="1"/>
        <v>0</v>
      </c>
      <c r="AA8" s="25">
        <f t="shared" si="1"/>
        <v>0</v>
      </c>
      <c r="AB8" s="25">
        <f t="shared" si="1"/>
        <v>743.4499999999999</v>
      </c>
      <c r="AC8" s="25">
        <f t="shared" si="1"/>
        <v>686.816</v>
      </c>
      <c r="AD8" s="25">
        <f t="shared" si="1"/>
        <v>1971.63</v>
      </c>
      <c r="AE8" s="25">
        <f t="shared" si="1"/>
        <v>2982.5</v>
      </c>
      <c r="AF8" s="25">
        <f t="shared" si="1"/>
        <v>0</v>
      </c>
      <c r="AG8" s="25">
        <f t="shared" si="1"/>
        <v>0</v>
      </c>
      <c r="AH8" s="25">
        <f t="shared" si="1"/>
        <v>684.4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15">
        <f t="shared" si="0"/>
        <v>9979.930999999997</v>
      </c>
      <c r="D9" s="82"/>
      <c r="E9" s="29"/>
      <c r="F9" s="22">
        <v>73.7</v>
      </c>
      <c r="G9" s="22">
        <v>208.561</v>
      </c>
      <c r="H9" s="22">
        <v>139.653</v>
      </c>
      <c r="I9" s="22">
        <v>653.31</v>
      </c>
      <c r="J9" s="22">
        <v>2591.276</v>
      </c>
      <c r="K9" s="22"/>
      <c r="L9" s="22"/>
      <c r="M9" s="22">
        <v>310.611</v>
      </c>
      <c r="N9" s="22">
        <v>103.951</v>
      </c>
      <c r="O9" s="22">
        <v>191.6</v>
      </c>
      <c r="P9" s="22">
        <v>361.485</v>
      </c>
      <c r="Q9" s="22">
        <v>668.784</v>
      </c>
      <c r="R9" s="22"/>
      <c r="S9" s="22"/>
      <c r="T9" s="22">
        <v>155.53</v>
      </c>
      <c r="U9" s="22">
        <v>112.806</v>
      </c>
      <c r="V9" s="22">
        <v>255.915</v>
      </c>
      <c r="W9" s="22">
        <v>952.603</v>
      </c>
      <c r="X9" s="22">
        <v>1165.2</v>
      </c>
      <c r="Y9" s="22"/>
      <c r="Z9" s="30"/>
      <c r="AA9" s="30"/>
      <c r="AB9" s="22">
        <v>256.364</v>
      </c>
      <c r="AC9" s="30">
        <v>257.105</v>
      </c>
      <c r="AD9" s="22">
        <v>584.077</v>
      </c>
      <c r="AE9" s="22">
        <v>583</v>
      </c>
      <c r="AF9" s="22"/>
      <c r="AG9" s="22"/>
      <c r="AH9" s="22">
        <v>354.4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15">
        <f t="shared" si="0"/>
        <v>0.01</v>
      </c>
      <c r="D10" s="82"/>
      <c r="E10" s="29"/>
      <c r="F10" s="22">
        <v>0</v>
      </c>
      <c r="G10" s="22">
        <v>0.01</v>
      </c>
      <c r="H10" s="22">
        <v>0</v>
      </c>
      <c r="I10" s="22">
        <v>0</v>
      </c>
      <c r="J10" s="22">
        <v>0</v>
      </c>
      <c r="K10" s="22"/>
      <c r="L10" s="22"/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/>
      <c r="S10" s="22"/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/>
      <c r="Z10" s="30"/>
      <c r="AA10" s="30"/>
      <c r="AB10" s="22">
        <v>0</v>
      </c>
      <c r="AC10" s="30">
        <v>0</v>
      </c>
      <c r="AD10" s="22">
        <v>0</v>
      </c>
      <c r="AE10" s="22"/>
      <c r="AF10" s="22"/>
      <c r="AG10" s="22"/>
      <c r="AH10" s="22"/>
      <c r="AI10" s="22"/>
      <c r="AJ10" s="29"/>
      <c r="AK10" s="31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15">
        <f t="shared" si="0"/>
        <v>2571.354</v>
      </c>
      <c r="D11" s="82"/>
      <c r="E11" s="29"/>
      <c r="F11" s="22">
        <v>0.133</v>
      </c>
      <c r="G11" s="22">
        <v>0.097</v>
      </c>
      <c r="H11" s="22">
        <v>3.812</v>
      </c>
      <c r="I11" s="22">
        <v>0.376</v>
      </c>
      <c r="J11" s="22">
        <v>0.342</v>
      </c>
      <c r="K11" s="22"/>
      <c r="L11" s="22"/>
      <c r="M11" s="22">
        <v>6.58</v>
      </c>
      <c r="N11" s="22">
        <v>44.495</v>
      </c>
      <c r="O11" s="22">
        <v>0.544</v>
      </c>
      <c r="P11" s="22">
        <v>0.431</v>
      </c>
      <c r="Q11" s="22">
        <v>2.7</v>
      </c>
      <c r="R11" s="22"/>
      <c r="S11" s="22"/>
      <c r="T11" s="22">
        <v>16.613</v>
      </c>
      <c r="U11" s="22">
        <v>4.733</v>
      </c>
      <c r="V11" s="22">
        <v>7.302</v>
      </c>
      <c r="W11" s="22">
        <v>0</v>
      </c>
      <c r="X11" s="22">
        <v>7.299</v>
      </c>
      <c r="Y11" s="22"/>
      <c r="Z11" s="30"/>
      <c r="AA11" s="30"/>
      <c r="AB11" s="22">
        <v>51</v>
      </c>
      <c r="AC11" s="30">
        <v>157.164</v>
      </c>
      <c r="AD11" s="22">
        <v>163.133</v>
      </c>
      <c r="AE11" s="22">
        <v>1998.6</v>
      </c>
      <c r="AF11" s="22"/>
      <c r="AG11" s="22"/>
      <c r="AH11" s="22">
        <v>106</v>
      </c>
      <c r="AI11" s="22"/>
      <c r="AJ11" s="29"/>
      <c r="AK11" s="31"/>
      <c r="AM11" s="32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15">
        <f t="shared" si="0"/>
        <v>694.4159999999999</v>
      </c>
      <c r="D12" s="82"/>
      <c r="E12" s="29"/>
      <c r="F12" s="22">
        <v>38.281</v>
      </c>
      <c r="G12" s="22">
        <v>32.549</v>
      </c>
      <c r="H12" s="22">
        <v>9.431</v>
      </c>
      <c r="I12" s="22">
        <v>29.065</v>
      </c>
      <c r="J12" s="22">
        <v>21.851</v>
      </c>
      <c r="K12" s="22"/>
      <c r="L12" s="22"/>
      <c r="M12" s="22">
        <v>45.097</v>
      </c>
      <c r="N12" s="22">
        <v>9.128</v>
      </c>
      <c r="O12" s="22">
        <v>30.254</v>
      </c>
      <c r="P12" s="22">
        <v>11.007</v>
      </c>
      <c r="Q12" s="22">
        <v>25.277</v>
      </c>
      <c r="R12" s="22"/>
      <c r="S12" s="22"/>
      <c r="T12" s="22">
        <v>20.026</v>
      </c>
      <c r="U12" s="22">
        <v>72.132</v>
      </c>
      <c r="V12" s="22">
        <v>40.313</v>
      </c>
      <c r="W12" s="22">
        <v>5.677</v>
      </c>
      <c r="X12" s="22">
        <v>12.798</v>
      </c>
      <c r="Y12" s="22"/>
      <c r="Z12" s="30"/>
      <c r="AA12" s="30"/>
      <c r="AB12" s="22">
        <v>20.2</v>
      </c>
      <c r="AC12" s="30">
        <v>24.765</v>
      </c>
      <c r="AD12" s="22">
        <v>211.365</v>
      </c>
      <c r="AE12" s="22">
        <v>29.4</v>
      </c>
      <c r="AF12" s="22"/>
      <c r="AG12" s="22"/>
      <c r="AH12" s="22">
        <v>5.8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15">
        <f t="shared" si="0"/>
        <v>3077.853</v>
      </c>
      <c r="D13" s="82"/>
      <c r="E13" s="29"/>
      <c r="F13" s="22">
        <v>40.281</v>
      </c>
      <c r="G13" s="22">
        <v>110.755</v>
      </c>
      <c r="H13" s="22">
        <v>60.382</v>
      </c>
      <c r="I13" s="22">
        <v>5.599</v>
      </c>
      <c r="J13" s="22">
        <v>23.065</v>
      </c>
      <c r="K13" s="22"/>
      <c r="L13" s="22"/>
      <c r="M13" s="22">
        <v>25.246</v>
      </c>
      <c r="N13" s="22">
        <v>193.173</v>
      </c>
      <c r="O13" s="22">
        <v>65.983</v>
      </c>
      <c r="P13" s="22">
        <v>73.937</v>
      </c>
      <c r="Q13" s="22">
        <v>46.734</v>
      </c>
      <c r="R13" s="22"/>
      <c r="S13" s="22"/>
      <c r="T13" s="22">
        <v>177.116</v>
      </c>
      <c r="U13" s="22">
        <v>70.061</v>
      </c>
      <c r="V13" s="22">
        <v>55.731</v>
      </c>
      <c r="W13" s="22">
        <v>15.096</v>
      </c>
      <c r="X13" s="22">
        <v>82.066</v>
      </c>
      <c r="Y13" s="22"/>
      <c r="Z13" s="30"/>
      <c r="AA13" s="30"/>
      <c r="AB13" s="22">
        <v>367.227</v>
      </c>
      <c r="AC13" s="22">
        <v>211.948</v>
      </c>
      <c r="AD13" s="22">
        <v>993.553</v>
      </c>
      <c r="AE13" s="22">
        <v>327.3</v>
      </c>
      <c r="AF13" s="22"/>
      <c r="AG13" s="22"/>
      <c r="AH13" s="22">
        <v>132.6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15">
        <f t="shared" si="0"/>
        <v>3073.9599999999996</v>
      </c>
      <c r="D14" s="82"/>
      <c r="E14" s="29"/>
      <c r="F14" s="22">
        <v>128.221</v>
      </c>
      <c r="G14" s="22">
        <v>59.742</v>
      </c>
      <c r="H14" s="22">
        <v>148.367</v>
      </c>
      <c r="I14" s="22">
        <v>156.22</v>
      </c>
      <c r="J14" s="22">
        <v>209.267</v>
      </c>
      <c r="K14" s="22"/>
      <c r="L14" s="22"/>
      <c r="M14" s="22">
        <v>145.669</v>
      </c>
      <c r="N14" s="22">
        <v>278.006</v>
      </c>
      <c r="O14" s="22">
        <v>464.987</v>
      </c>
      <c r="P14" s="22">
        <v>188.802</v>
      </c>
      <c r="Q14" s="22">
        <v>261.843</v>
      </c>
      <c r="R14" s="22"/>
      <c r="S14" s="22"/>
      <c r="T14" s="22">
        <v>337.922</v>
      </c>
      <c r="U14" s="22">
        <v>240.928</v>
      </c>
      <c r="V14" s="22">
        <v>216.768</v>
      </c>
      <c r="W14" s="22">
        <v>139.391</v>
      </c>
      <c r="X14" s="22">
        <v>7.092</v>
      </c>
      <c r="Y14" s="22"/>
      <c r="Z14" s="30"/>
      <c r="AA14" s="30"/>
      <c r="AB14" s="22">
        <v>9.72</v>
      </c>
      <c r="AC14" s="30">
        <v>17.72</v>
      </c>
      <c r="AD14" s="22">
        <v>3.995</v>
      </c>
      <c r="AE14" s="22">
        <v>6.6</v>
      </c>
      <c r="AF14" s="22"/>
      <c r="AG14" s="22"/>
      <c r="AH14" s="22">
        <v>52.7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15">
        <f t="shared" si="0"/>
        <v>196.472</v>
      </c>
      <c r="D15" s="82"/>
      <c r="E15" s="29"/>
      <c r="F15" s="22">
        <v>11.08</v>
      </c>
      <c r="G15" s="22">
        <v>8.711</v>
      </c>
      <c r="H15" s="22">
        <v>9.278</v>
      </c>
      <c r="I15" s="22">
        <v>12.25</v>
      </c>
      <c r="J15" s="22">
        <v>8.758</v>
      </c>
      <c r="K15" s="22"/>
      <c r="L15" s="22"/>
      <c r="M15" s="22">
        <v>6.374</v>
      </c>
      <c r="N15" s="22">
        <v>14.797</v>
      </c>
      <c r="O15" s="22">
        <v>13.412</v>
      </c>
      <c r="P15" s="22">
        <v>10.774</v>
      </c>
      <c r="Q15" s="22">
        <v>8.549</v>
      </c>
      <c r="R15" s="22"/>
      <c r="S15" s="22"/>
      <c r="T15" s="22">
        <v>11.278</v>
      </c>
      <c r="U15" s="22">
        <v>11.349</v>
      </c>
      <c r="V15" s="22">
        <v>9.743</v>
      </c>
      <c r="W15" s="22">
        <v>6.094</v>
      </c>
      <c r="X15" s="22">
        <v>8.111</v>
      </c>
      <c r="Y15" s="22"/>
      <c r="Z15" s="30"/>
      <c r="AA15" s="30"/>
      <c r="AB15" s="22">
        <v>14.079</v>
      </c>
      <c r="AC15" s="30">
        <v>5.014</v>
      </c>
      <c r="AD15" s="22">
        <v>6.121</v>
      </c>
      <c r="AE15" s="22">
        <v>8.6</v>
      </c>
      <c r="AF15" s="22"/>
      <c r="AG15" s="22"/>
      <c r="AH15" s="22">
        <v>12.1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15">
        <f t="shared" si="0"/>
        <v>347.51700000000005</v>
      </c>
      <c r="D16" s="82"/>
      <c r="E16" s="29"/>
      <c r="F16" s="22">
        <v>6.9</v>
      </c>
      <c r="G16" s="22">
        <v>5.559</v>
      </c>
      <c r="H16" s="22">
        <v>1</v>
      </c>
      <c r="I16" s="22">
        <v>13.707</v>
      </c>
      <c r="J16" s="22">
        <v>2.8</v>
      </c>
      <c r="K16" s="22"/>
      <c r="L16" s="22"/>
      <c r="M16" s="22">
        <v>6.988</v>
      </c>
      <c r="N16" s="22">
        <v>6.827</v>
      </c>
      <c r="O16" s="22">
        <v>23.611</v>
      </c>
      <c r="P16" s="22">
        <v>17.072</v>
      </c>
      <c r="Q16" s="22">
        <v>7.549</v>
      </c>
      <c r="R16" s="22"/>
      <c r="S16" s="22"/>
      <c r="T16" s="22">
        <v>29.876</v>
      </c>
      <c r="U16" s="22">
        <v>98.998</v>
      </c>
      <c r="V16" s="22">
        <v>11.485</v>
      </c>
      <c r="W16" s="22">
        <v>7.644</v>
      </c>
      <c r="X16" s="22">
        <v>10.355</v>
      </c>
      <c r="Y16" s="22"/>
      <c r="Z16" s="30"/>
      <c r="AA16" s="30"/>
      <c r="AB16" s="22">
        <v>24.86</v>
      </c>
      <c r="AC16" s="30">
        <v>13.1</v>
      </c>
      <c r="AD16" s="22">
        <v>9.386</v>
      </c>
      <c r="AE16" s="22">
        <v>29</v>
      </c>
      <c r="AF16" s="22"/>
      <c r="AG16" s="22"/>
      <c r="AH16" s="22">
        <v>20.8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19297.173000000003</v>
      </c>
      <c r="D17" s="38">
        <f>SUM(D6:D8)</f>
        <v>0</v>
      </c>
      <c r="E17" s="38">
        <f aca="true" t="shared" si="2" ref="E17:AH17">SUM(E6:E8)</f>
        <v>0</v>
      </c>
      <c r="F17" s="38">
        <f t="shared" si="2"/>
        <v>1424.196</v>
      </c>
      <c r="G17" s="38">
        <f t="shared" si="2"/>
        <v>458.384</v>
      </c>
      <c r="H17" s="38">
        <f t="shared" si="2"/>
        <v>391.923</v>
      </c>
      <c r="I17" s="38">
        <f t="shared" si="2"/>
        <v>870.527</v>
      </c>
      <c r="J17" s="38">
        <f t="shared" si="2"/>
        <v>2857.359</v>
      </c>
      <c r="K17" s="38">
        <f t="shared" si="2"/>
        <v>0</v>
      </c>
      <c r="L17" s="38">
        <f t="shared" si="2"/>
        <v>0</v>
      </c>
      <c r="M17" s="38">
        <f t="shared" si="2"/>
        <v>546.565</v>
      </c>
      <c r="N17" s="38">
        <f t="shared" si="2"/>
        <v>1765.177</v>
      </c>
      <c r="O17" s="38">
        <f t="shared" si="2"/>
        <v>790.391</v>
      </c>
      <c r="P17" s="38">
        <f t="shared" si="2"/>
        <v>663.508</v>
      </c>
      <c r="Q17" s="38">
        <f t="shared" si="2"/>
        <v>1021.4360000000001</v>
      </c>
      <c r="R17" s="38">
        <f t="shared" si="2"/>
        <v>0</v>
      </c>
      <c r="S17" s="38">
        <f t="shared" si="2"/>
        <v>0</v>
      </c>
      <c r="T17" s="38">
        <f t="shared" si="2"/>
        <v>748.3610000000001</v>
      </c>
      <c r="U17" s="38">
        <f t="shared" si="2"/>
        <v>611.0070000000001</v>
      </c>
      <c r="V17" s="38">
        <f t="shared" si="2"/>
        <v>597.2570000000001</v>
      </c>
      <c r="W17" s="38">
        <f t="shared" si="2"/>
        <v>1126.505</v>
      </c>
      <c r="X17" s="38">
        <f t="shared" si="2"/>
        <v>1292.9210000000003</v>
      </c>
      <c r="Y17" s="38">
        <f t="shared" si="2"/>
        <v>0</v>
      </c>
      <c r="Z17" s="38">
        <f t="shared" si="2"/>
        <v>0</v>
      </c>
      <c r="AA17" s="38">
        <f t="shared" si="2"/>
        <v>0</v>
      </c>
      <c r="AB17" s="38">
        <f t="shared" si="2"/>
        <v>743.4499999999999</v>
      </c>
      <c r="AC17" s="38">
        <f t="shared" si="2"/>
        <v>686.816</v>
      </c>
      <c r="AD17" s="38">
        <f t="shared" si="2"/>
        <v>2016.99</v>
      </c>
      <c r="AE17" s="38" t="s">
        <v>82</v>
      </c>
      <c r="AF17" s="38">
        <f t="shared" si="2"/>
        <v>0</v>
      </c>
      <c r="AG17" s="38">
        <f t="shared" si="2"/>
        <v>0</v>
      </c>
      <c r="AH17" s="38">
        <f t="shared" si="2"/>
        <v>684.4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C19+C23+C29+C32+C33+C35+C36+C41+C45+C49+C52+C56+C66+C74+C80+C81+C86+C31+C69+C78+C76+C77+C82+C83+C85+C72+C34+C62+C79+C64+C84+C73</f>
        <v>46011.519</v>
      </c>
      <c r="D18" s="40">
        <f aca="true" t="shared" si="3" ref="D18:AJ18">D19+D23+D29+D32+D33+D35+D36+D41+D45+D49+D52+D56+D66+D74+D80+D81+D86+D31+D69+D78+D76+D77+D82+D83+D85+D72+D34+D62+D79+D64+D84+D73</f>
        <v>0</v>
      </c>
      <c r="E18" s="40">
        <f t="shared" si="3"/>
        <v>0</v>
      </c>
      <c r="F18" s="40">
        <f t="shared" si="3"/>
        <v>0</v>
      </c>
      <c r="G18" s="40">
        <f t="shared" si="3"/>
        <v>160.5</v>
      </c>
      <c r="H18" s="40">
        <f t="shared" si="3"/>
        <v>1450.4</v>
      </c>
      <c r="I18" s="40">
        <f t="shared" si="3"/>
        <v>0</v>
      </c>
      <c r="J18" s="40">
        <f t="shared" si="3"/>
        <v>698.754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2320.8120000000004</v>
      </c>
      <c r="O18" s="40">
        <f t="shared" si="3"/>
        <v>4617.5470000000005</v>
      </c>
      <c r="P18" s="40">
        <f t="shared" si="3"/>
        <v>0</v>
      </c>
      <c r="Q18" s="40">
        <f t="shared" si="3"/>
        <v>1279.824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960.653</v>
      </c>
      <c r="V18" s="40">
        <f t="shared" si="3"/>
        <v>1843.799</v>
      </c>
      <c r="W18" s="40">
        <f t="shared" si="3"/>
        <v>0</v>
      </c>
      <c r="X18" s="40">
        <f t="shared" si="3"/>
        <v>2086.578</v>
      </c>
      <c r="Y18" s="40">
        <f t="shared" si="3"/>
        <v>0</v>
      </c>
      <c r="Z18" s="40">
        <f t="shared" si="3"/>
        <v>0</v>
      </c>
      <c r="AA18" s="40">
        <f t="shared" si="3"/>
        <v>0</v>
      </c>
      <c r="AB18" s="40">
        <f t="shared" si="3"/>
        <v>1849.759</v>
      </c>
      <c r="AC18" s="40">
        <f t="shared" si="3"/>
        <v>3545.8849999999998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20814.510999999995</v>
      </c>
      <c r="AK18" s="41">
        <f aca="true" t="shared" si="4" ref="AK18:AK82">AJ18-C18</f>
        <v>-25197.008000000005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8246.865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28.2</v>
      </c>
      <c r="H19" s="43">
        <f t="shared" si="5"/>
        <v>5.1</v>
      </c>
      <c r="I19" s="43">
        <f t="shared" si="5"/>
        <v>0</v>
      </c>
      <c r="J19" s="43">
        <f t="shared" si="5"/>
        <v>161.33400000000003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251.41</v>
      </c>
      <c r="O19" s="43">
        <f t="shared" si="5"/>
        <v>1122.982</v>
      </c>
      <c r="P19" s="43">
        <f t="shared" si="5"/>
        <v>0</v>
      </c>
      <c r="Q19" s="43">
        <f t="shared" si="5"/>
        <v>12.96</v>
      </c>
      <c r="R19" s="43">
        <f t="shared" si="5"/>
        <v>0</v>
      </c>
      <c r="S19" s="43">
        <f t="shared" si="5"/>
        <v>0</v>
      </c>
      <c r="T19" s="43">
        <f t="shared" si="5"/>
        <v>0</v>
      </c>
      <c r="U19" s="43">
        <f t="shared" si="5"/>
        <v>3.397</v>
      </c>
      <c r="V19" s="43">
        <f t="shared" si="5"/>
        <v>44.088</v>
      </c>
      <c r="W19" s="43">
        <f t="shared" si="5"/>
        <v>0</v>
      </c>
      <c r="X19" s="43">
        <f t="shared" si="5"/>
        <v>100.931</v>
      </c>
      <c r="Y19" s="43">
        <f t="shared" si="5"/>
        <v>0</v>
      </c>
      <c r="Z19" s="43">
        <f t="shared" si="5"/>
        <v>0</v>
      </c>
      <c r="AA19" s="43">
        <f t="shared" si="5"/>
        <v>0</v>
      </c>
      <c r="AB19" s="43">
        <f t="shared" si="5"/>
        <v>290.632</v>
      </c>
      <c r="AC19" s="43">
        <f t="shared" si="5"/>
        <v>1329.147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3350.1809999999996</v>
      </c>
      <c r="AK19" s="41">
        <f t="shared" si="4"/>
        <v>-4896.684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5060.458</v>
      </c>
      <c r="D20" s="45"/>
      <c r="E20" s="17"/>
      <c r="F20" s="17"/>
      <c r="G20" s="17">
        <v>15.2</v>
      </c>
      <c r="H20" s="17"/>
      <c r="I20" s="17"/>
      <c r="J20" s="17">
        <f>6.752+134.627</f>
        <v>141.37900000000002</v>
      </c>
      <c r="K20" s="17"/>
      <c r="L20" s="17"/>
      <c r="M20" s="17"/>
      <c r="N20" s="22">
        <v>250.676</v>
      </c>
      <c r="O20" s="17">
        <v>1098.8</v>
      </c>
      <c r="P20" s="17"/>
      <c r="Q20" s="17"/>
      <c r="R20" s="17"/>
      <c r="S20" s="17"/>
      <c r="T20" s="17"/>
      <c r="U20" s="17"/>
      <c r="V20" s="17">
        <v>41.191</v>
      </c>
      <c r="W20" s="17"/>
      <c r="X20" s="17">
        <v>89.306</v>
      </c>
      <c r="Y20" s="17"/>
      <c r="Z20" s="17"/>
      <c r="AA20" s="17"/>
      <c r="AB20" s="17">
        <v>282.436</v>
      </c>
      <c r="AC20" s="17">
        <f>1307.283-3.88</f>
        <v>1303.4029999999998</v>
      </c>
      <c r="AD20" s="22"/>
      <c r="AE20" s="22"/>
      <c r="AF20" s="22"/>
      <c r="AG20" s="22"/>
      <c r="AH20" s="17"/>
      <c r="AI20" s="17"/>
      <c r="AJ20" s="17">
        <f>SUM(D20:AI20)</f>
        <v>3222.3909999999996</v>
      </c>
      <c r="AK20" s="41">
        <f t="shared" si="4"/>
        <v>-1838.067</v>
      </c>
      <c r="AL20" s="7"/>
      <c r="AM20" s="66" t="s">
        <v>21</v>
      </c>
      <c r="AN20" s="67">
        <f>AJ19</f>
        <v>3350.1809999999996</v>
      </c>
      <c r="AO20" s="73"/>
      <c r="AP20" s="8"/>
    </row>
    <row r="21" spans="2:42" ht="15.75">
      <c r="B21" s="44" t="s">
        <v>22</v>
      </c>
      <c r="C21" s="45">
        <v>296.037</v>
      </c>
      <c r="D21" s="45"/>
      <c r="E21" s="17"/>
      <c r="F21" s="17"/>
      <c r="G21" s="17">
        <v>11.3</v>
      </c>
      <c r="H21" s="17"/>
      <c r="I21" s="17"/>
      <c r="J21" s="17">
        <v>0.316</v>
      </c>
      <c r="K21" s="17"/>
      <c r="L21" s="17"/>
      <c r="M21" s="17"/>
      <c r="N21" s="22">
        <v>0.071</v>
      </c>
      <c r="O21" s="17">
        <v>0.24</v>
      </c>
      <c r="P21" s="17"/>
      <c r="Q21" s="17"/>
      <c r="R21" s="17"/>
      <c r="S21" s="17"/>
      <c r="T21" s="17"/>
      <c r="U21" s="17">
        <v>0.48</v>
      </c>
      <c r="V21" s="17"/>
      <c r="W21" s="17"/>
      <c r="X21" s="17"/>
      <c r="Y21" s="17"/>
      <c r="Z21" s="17"/>
      <c r="AA21" s="17"/>
      <c r="AB21" s="17"/>
      <c r="AC21" s="17">
        <v>1.989</v>
      </c>
      <c r="AD21" s="22"/>
      <c r="AE21" s="22"/>
      <c r="AF21" s="22"/>
      <c r="AG21" s="22"/>
      <c r="AH21" s="17"/>
      <c r="AI21" s="17"/>
      <c r="AJ21" s="17">
        <f>SUM(D21:AI21)</f>
        <v>14.396000000000003</v>
      </c>
      <c r="AK21" s="41">
        <f t="shared" si="4"/>
        <v>-281.64099999999996</v>
      </c>
      <c r="AL21" s="7"/>
      <c r="AM21" s="66" t="s">
        <v>23</v>
      </c>
      <c r="AN21" s="67">
        <f>AJ23</f>
        <v>7483.457999999999</v>
      </c>
      <c r="AO21" s="73"/>
      <c r="AP21" s="8"/>
    </row>
    <row r="22" spans="2:42" ht="15.75">
      <c r="B22" s="44" t="s">
        <v>24</v>
      </c>
      <c r="C22" s="45">
        <v>2890.37</v>
      </c>
      <c r="D22" s="45"/>
      <c r="E22" s="17"/>
      <c r="F22" s="17"/>
      <c r="G22" s="17">
        <v>1.7</v>
      </c>
      <c r="H22" s="17">
        <v>5.1</v>
      </c>
      <c r="I22" s="17"/>
      <c r="J22" s="17">
        <v>19.639</v>
      </c>
      <c r="K22" s="17"/>
      <c r="L22" s="17"/>
      <c r="M22" s="17"/>
      <c r="N22" s="17">
        <v>0.663</v>
      </c>
      <c r="O22" s="17">
        <f>7.612+16.33</f>
        <v>23.942</v>
      </c>
      <c r="P22" s="17"/>
      <c r="Q22" s="17">
        <v>12.96</v>
      </c>
      <c r="R22" s="17"/>
      <c r="S22" s="17"/>
      <c r="T22" s="17"/>
      <c r="U22" s="17">
        <v>2.917</v>
      </c>
      <c r="V22" s="17">
        <v>2.897</v>
      </c>
      <c r="W22" s="17"/>
      <c r="X22" s="17">
        <v>11.625</v>
      </c>
      <c r="Y22" s="17"/>
      <c r="Z22" s="17"/>
      <c r="AA22" s="17"/>
      <c r="AB22" s="17">
        <v>8.196</v>
      </c>
      <c r="AC22" s="17">
        <f>26.555-2.8</f>
        <v>23.755</v>
      </c>
      <c r="AD22" s="17"/>
      <c r="AE22" s="17"/>
      <c r="AF22" s="17"/>
      <c r="AG22" s="17"/>
      <c r="AH22" s="17"/>
      <c r="AI22" s="17"/>
      <c r="AJ22" s="17">
        <f>SUM(D22:AI22)</f>
        <v>113.39399999999999</v>
      </c>
      <c r="AK22" s="41">
        <f t="shared" si="4"/>
        <v>-2776.976</v>
      </c>
      <c r="AL22" s="7"/>
      <c r="AM22" s="66" t="s">
        <v>25</v>
      </c>
      <c r="AN22" s="67">
        <f>$AJ$29+$AJ$31</f>
        <v>92.264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22856.13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85.30000000000001</v>
      </c>
      <c r="H23" s="43">
        <f t="shared" si="6"/>
        <v>25.5</v>
      </c>
      <c r="I23" s="43">
        <f t="shared" si="6"/>
        <v>0</v>
      </c>
      <c r="J23" s="43">
        <f t="shared" si="6"/>
        <v>176.719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1519.215</v>
      </c>
      <c r="O23" s="43">
        <f t="shared" si="6"/>
        <v>685.0550000000001</v>
      </c>
      <c r="P23" s="43">
        <f t="shared" si="6"/>
        <v>0</v>
      </c>
      <c r="Q23" s="43">
        <f t="shared" si="6"/>
        <v>92.922</v>
      </c>
      <c r="R23" s="43">
        <f t="shared" si="6"/>
        <v>0</v>
      </c>
      <c r="S23" s="43">
        <f t="shared" si="6"/>
        <v>0</v>
      </c>
      <c r="T23" s="43">
        <f t="shared" si="6"/>
        <v>0</v>
      </c>
      <c r="U23" s="43">
        <f t="shared" si="6"/>
        <v>21.286</v>
      </c>
      <c r="V23" s="43">
        <f t="shared" si="6"/>
        <v>705.848</v>
      </c>
      <c r="W23" s="43">
        <f t="shared" si="6"/>
        <v>0</v>
      </c>
      <c r="X23" s="43">
        <f t="shared" si="6"/>
        <v>1192.0169999999998</v>
      </c>
      <c r="Y23" s="43">
        <f t="shared" si="6"/>
        <v>0</v>
      </c>
      <c r="Z23" s="43">
        <f t="shared" si="6"/>
        <v>0</v>
      </c>
      <c r="AA23" s="43">
        <f t="shared" si="6"/>
        <v>0</v>
      </c>
      <c r="AB23" s="43">
        <f t="shared" si="6"/>
        <v>1094.949</v>
      </c>
      <c r="AC23" s="43">
        <f t="shared" si="6"/>
        <v>1884.647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7483.457999999999</v>
      </c>
      <c r="AK23" s="41">
        <f t="shared" si="4"/>
        <v>-15372.672000000002</v>
      </c>
      <c r="AL23" s="2"/>
      <c r="AM23" s="66" t="s">
        <v>26</v>
      </c>
      <c r="AN23" s="67">
        <f>$AJ$32+$AJ$33+$AJ$36+$AJ$41+$AJ$45+$AJ$35+$AJ$34</f>
        <v>1077.8960000000002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13155.693</v>
      </c>
      <c r="D24" s="45"/>
      <c r="E24" s="17"/>
      <c r="F24" s="17"/>
      <c r="G24" s="17">
        <f>45.4+3.3</f>
        <v>48.699999999999996</v>
      </c>
      <c r="H24" s="17"/>
      <c r="I24" s="17"/>
      <c r="J24" s="17">
        <v>136.112</v>
      </c>
      <c r="K24" s="17"/>
      <c r="L24" s="17"/>
      <c r="M24" s="17"/>
      <c r="N24" s="22">
        <f>1253.21+10.84+175.491</f>
        <v>1439.541</v>
      </c>
      <c r="O24" s="17">
        <f>329.444+330.833</f>
        <v>660.277</v>
      </c>
      <c r="P24" s="17"/>
      <c r="Q24" s="17">
        <v>3.84</v>
      </c>
      <c r="R24" s="17"/>
      <c r="S24" s="17"/>
      <c r="T24" s="17"/>
      <c r="U24" s="17"/>
      <c r="V24" s="17">
        <f>423.525+168.839</f>
        <v>592.364</v>
      </c>
      <c r="W24" s="17"/>
      <c r="X24" s="17">
        <v>1095.349</v>
      </c>
      <c r="Y24" s="17"/>
      <c r="Z24" s="17"/>
      <c r="AA24" s="17"/>
      <c r="AB24" s="17">
        <v>1094.949</v>
      </c>
      <c r="AC24" s="17">
        <f>957.843+592.574+22.08</f>
        <v>1572.4969999999998</v>
      </c>
      <c r="AD24" s="22"/>
      <c r="AE24" s="22"/>
      <c r="AF24" s="22"/>
      <c r="AG24" s="22"/>
      <c r="AH24" s="17"/>
      <c r="AI24" s="17"/>
      <c r="AJ24" s="17">
        <f>SUM(D24:AI24)</f>
        <v>6643.628999999999</v>
      </c>
      <c r="AK24" s="41">
        <f t="shared" si="4"/>
        <v>-6512.064</v>
      </c>
      <c r="AL24" s="7"/>
      <c r="AM24" s="66" t="s">
        <v>27</v>
      </c>
      <c r="AN24" s="67">
        <f>$AJ$66+$AJ$69+$AJ$77+$AJ$62+$AJ$64</f>
        <v>2012.4889999999998</v>
      </c>
      <c r="AO24" s="73"/>
      <c r="AP24" s="8"/>
    </row>
    <row r="25" spans="2:42" ht="15.75">
      <c r="B25" s="44" t="s">
        <v>28</v>
      </c>
      <c r="C25" s="45">
        <v>19.681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>
        <v>19.225</v>
      </c>
      <c r="W25" s="17"/>
      <c r="X25" s="17">
        <v>0.7</v>
      </c>
      <c r="Y25" s="17"/>
      <c r="Z25" s="17"/>
      <c r="AA25" s="17"/>
      <c r="AB25" s="17"/>
      <c r="AC25" s="17">
        <v>2.903</v>
      </c>
      <c r="AD25" s="22"/>
      <c r="AE25" s="22"/>
      <c r="AF25" s="22"/>
      <c r="AG25" s="22"/>
      <c r="AH25" s="17"/>
      <c r="AI25" s="17"/>
      <c r="AJ25" s="17">
        <f>SUM(D25:AI25)</f>
        <v>22.828</v>
      </c>
      <c r="AK25" s="41">
        <f t="shared" si="4"/>
        <v>3.1469999999999985</v>
      </c>
      <c r="AL25" s="7"/>
      <c r="AM25" s="66" t="s">
        <v>29</v>
      </c>
      <c r="AN25" s="67">
        <f>$AJ$52</f>
        <v>495.639</v>
      </c>
      <c r="AO25" s="73"/>
      <c r="AP25" s="8"/>
    </row>
    <row r="26" spans="2:42" ht="15.75">
      <c r="B26" s="44" t="s">
        <v>30</v>
      </c>
      <c r="C26" s="45">
        <v>2845.173</v>
      </c>
      <c r="D26" s="45"/>
      <c r="E26" s="17"/>
      <c r="F26" s="17"/>
      <c r="G26" s="17">
        <v>3</v>
      </c>
      <c r="H26" s="17"/>
      <c r="I26" s="17"/>
      <c r="J26" s="17"/>
      <c r="K26" s="17"/>
      <c r="L26" s="17"/>
      <c r="M26" s="17"/>
      <c r="N26" s="22">
        <v>54.654</v>
      </c>
      <c r="O26" s="17">
        <v>13.975</v>
      </c>
      <c r="P26" s="17"/>
      <c r="Q26" s="17">
        <v>49.487</v>
      </c>
      <c r="R26" s="17"/>
      <c r="S26" s="17"/>
      <c r="T26" s="17"/>
      <c r="U26" s="17">
        <v>7.162</v>
      </c>
      <c r="V26" s="17">
        <v>13.295</v>
      </c>
      <c r="W26" s="17"/>
      <c r="X26" s="17">
        <v>15.538</v>
      </c>
      <c r="Y26" s="17"/>
      <c r="Z26" s="17"/>
      <c r="AA26" s="17"/>
      <c r="AB26" s="17"/>
      <c r="AC26" s="17">
        <v>58.527</v>
      </c>
      <c r="AD26" s="22"/>
      <c r="AE26" s="22"/>
      <c r="AF26" s="22"/>
      <c r="AG26" s="22"/>
      <c r="AH26" s="17"/>
      <c r="AI26" s="17"/>
      <c r="AJ26" s="17">
        <f>SUM(D26:AI26)</f>
        <v>215.63800000000003</v>
      </c>
      <c r="AK26" s="41">
        <f t="shared" si="4"/>
        <v>-2629.535</v>
      </c>
      <c r="AL26" s="7"/>
      <c r="AM26" s="66" t="s">
        <v>31</v>
      </c>
      <c r="AN26" s="67">
        <f>$AJ$56</f>
        <v>460.38300000000004</v>
      </c>
      <c r="AO26" s="73"/>
      <c r="AP26" s="8"/>
    </row>
    <row r="27" spans="2:42" ht="15.75">
      <c r="B27" s="44" t="s">
        <v>22</v>
      </c>
      <c r="C27" s="45">
        <v>4309.827</v>
      </c>
      <c r="D27" s="45"/>
      <c r="E27" s="17"/>
      <c r="F27" s="17"/>
      <c r="G27" s="17">
        <v>32.2</v>
      </c>
      <c r="H27" s="17">
        <v>14.3</v>
      </c>
      <c r="I27" s="17"/>
      <c r="J27" s="17">
        <v>24.025</v>
      </c>
      <c r="K27" s="17"/>
      <c r="L27" s="17"/>
      <c r="M27" s="17"/>
      <c r="N27" s="22">
        <v>4.551</v>
      </c>
      <c r="O27" s="17">
        <v>4.188</v>
      </c>
      <c r="P27" s="17"/>
      <c r="Q27" s="17">
        <v>1.579</v>
      </c>
      <c r="R27" s="17"/>
      <c r="S27" s="17"/>
      <c r="T27" s="17"/>
      <c r="U27" s="17">
        <v>2.165</v>
      </c>
      <c r="V27" s="17">
        <v>5.193</v>
      </c>
      <c r="W27" s="17"/>
      <c r="X27" s="17">
        <v>11.831</v>
      </c>
      <c r="Y27" s="17"/>
      <c r="Z27" s="17"/>
      <c r="AA27" s="17"/>
      <c r="AB27" s="17"/>
      <c r="AC27" s="17">
        <v>10.556</v>
      </c>
      <c r="AD27" s="22"/>
      <c r="AE27" s="22"/>
      <c r="AF27" s="22"/>
      <c r="AG27" s="22"/>
      <c r="AH27" s="17"/>
      <c r="AI27" s="17"/>
      <c r="AJ27" s="17">
        <f>SUM(D27:AI27)</f>
        <v>110.58800000000001</v>
      </c>
      <c r="AK27" s="41">
        <f t="shared" si="4"/>
        <v>-4199.2390000000005</v>
      </c>
      <c r="AL27" s="7"/>
      <c r="AM27" s="66" t="s">
        <v>32</v>
      </c>
      <c r="AN27" s="67">
        <f>$AJ$49+$AJ$74+$AJ$80+$AJ$81+$AJ$86+$AJ$76+$AJ$78+$AJ$82+$AJ$83+$AJ$85+$AJ$79+$AJ$84</f>
        <v>5842.201</v>
      </c>
      <c r="AO27" s="73"/>
      <c r="AP27" s="8"/>
    </row>
    <row r="28" spans="2:42" ht="15.75">
      <c r="B28" s="44" t="s">
        <v>24</v>
      </c>
      <c r="C28" s="45">
        <v>2525.756</v>
      </c>
      <c r="D28" s="45"/>
      <c r="E28" s="17"/>
      <c r="F28" s="17"/>
      <c r="G28" s="17">
        <v>1.4</v>
      </c>
      <c r="H28" s="17">
        <v>11.2</v>
      </c>
      <c r="I28" s="17"/>
      <c r="J28" s="17">
        <v>16.582</v>
      </c>
      <c r="K28" s="17"/>
      <c r="L28" s="17"/>
      <c r="M28" s="17"/>
      <c r="N28" s="17">
        <f>12.393+8.076</f>
        <v>20.469</v>
      </c>
      <c r="O28" s="17">
        <v>6.615</v>
      </c>
      <c r="P28" s="17"/>
      <c r="Q28" s="17">
        <f>28.702+9.314</f>
        <v>38.016000000000005</v>
      </c>
      <c r="R28" s="17"/>
      <c r="S28" s="17"/>
      <c r="T28" s="17"/>
      <c r="U28" s="17">
        <f>9.159+2.8</f>
        <v>11.959</v>
      </c>
      <c r="V28" s="17">
        <v>75.771</v>
      </c>
      <c r="W28" s="17"/>
      <c r="X28" s="17">
        <f>40.191+28.408</f>
        <v>68.599</v>
      </c>
      <c r="Y28" s="17"/>
      <c r="Z28" s="17"/>
      <c r="AA28" s="17"/>
      <c r="AB28" s="17"/>
      <c r="AC28" s="17">
        <f>220.682+19.482</f>
        <v>240.164</v>
      </c>
      <c r="AD28" s="17"/>
      <c r="AE28" s="17"/>
      <c r="AF28" s="17"/>
      <c r="AG28" s="17"/>
      <c r="AH28" s="17"/>
      <c r="AI28" s="17"/>
      <c r="AJ28" s="17">
        <f>SUM(D28:AI28)</f>
        <v>490.775</v>
      </c>
      <c r="AK28" s="41">
        <f t="shared" si="4"/>
        <v>-2034.9809999999998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503.662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0</v>
      </c>
      <c r="G29" s="43">
        <f t="shared" si="7"/>
        <v>4.6</v>
      </c>
      <c r="H29" s="43">
        <f t="shared" si="7"/>
        <v>0</v>
      </c>
      <c r="I29" s="43">
        <f t="shared" si="7"/>
        <v>0</v>
      </c>
      <c r="J29" s="43">
        <f t="shared" si="7"/>
        <v>15.87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2.989</v>
      </c>
      <c r="O29" s="43">
        <f t="shared" si="7"/>
        <v>0</v>
      </c>
      <c r="P29" s="43">
        <f t="shared" si="7"/>
        <v>0</v>
      </c>
      <c r="Q29" s="43">
        <f t="shared" si="7"/>
        <v>50.377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9.455</v>
      </c>
      <c r="V29" s="43">
        <f t="shared" si="7"/>
        <v>0</v>
      </c>
      <c r="W29" s="43">
        <f t="shared" si="7"/>
        <v>0</v>
      </c>
      <c r="X29" s="43">
        <f t="shared" si="7"/>
        <v>8.143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0.83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92.264</v>
      </c>
      <c r="AK29" s="41">
        <f t="shared" si="4"/>
        <v>-411.39799999999997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503.662</v>
      </c>
      <c r="D30" s="34"/>
      <c r="E30" s="22"/>
      <c r="F30" s="22"/>
      <c r="G30" s="22">
        <v>4.6</v>
      </c>
      <c r="H30" s="22"/>
      <c r="I30" s="22"/>
      <c r="J30" s="22">
        <v>15.87</v>
      </c>
      <c r="K30" s="22"/>
      <c r="L30" s="22"/>
      <c r="M30" s="22"/>
      <c r="N30" s="22">
        <v>2.989</v>
      </c>
      <c r="O30" s="22"/>
      <c r="P30" s="22"/>
      <c r="Q30" s="22">
        <v>50.377</v>
      </c>
      <c r="R30" s="22"/>
      <c r="S30" s="22"/>
      <c r="T30" s="22"/>
      <c r="U30" s="22">
        <v>9.455</v>
      </c>
      <c r="V30" s="22"/>
      <c r="W30" s="22"/>
      <c r="X30" s="22">
        <v>8.143</v>
      </c>
      <c r="Y30" s="22"/>
      <c r="Z30" s="22"/>
      <c r="AA30" s="22"/>
      <c r="AB30" s="22"/>
      <c r="AC30" s="22">
        <v>0.83</v>
      </c>
      <c r="AD30" s="22"/>
      <c r="AE30" s="22"/>
      <c r="AF30" s="22"/>
      <c r="AG30" s="22"/>
      <c r="AH30" s="34"/>
      <c r="AI30" s="34"/>
      <c r="AJ30" s="17">
        <f>SUM(D30:AI30)</f>
        <v>92.264</v>
      </c>
      <c r="AK30" s="41">
        <f t="shared" si="4"/>
        <v>-411.39799999999997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1181.518</v>
      </c>
      <c r="D32" s="43"/>
      <c r="E32" s="43"/>
      <c r="F32" s="43"/>
      <c r="G32" s="43"/>
      <c r="H32" s="43">
        <v>4.9</v>
      </c>
      <c r="I32" s="43"/>
      <c r="J32" s="43"/>
      <c r="K32" s="43"/>
      <c r="L32" s="43"/>
      <c r="M32" s="43"/>
      <c r="N32" s="43"/>
      <c r="O32" s="43"/>
      <c r="P32" s="43"/>
      <c r="Q32" s="43">
        <f>4.096+30.758</f>
        <v>34.854</v>
      </c>
      <c r="R32" s="43"/>
      <c r="S32" s="43"/>
      <c r="T32" s="43"/>
      <c r="U32" s="43"/>
      <c r="V32" s="43"/>
      <c r="W32" s="43"/>
      <c r="X32" s="43">
        <f>115.023+7</f>
        <v>122.023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161.777</v>
      </c>
      <c r="AK32" s="41">
        <f t="shared" si="4"/>
        <v>-1019.741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873.115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-873.115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30" customHeight="1">
      <c r="B34" s="42" t="s">
        <v>39</v>
      </c>
      <c r="C34" s="43">
        <v>100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-100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42" t="s">
        <v>40</v>
      </c>
      <c r="C35" s="43">
        <v>121.986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-121.986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801.6010000000001</v>
      </c>
      <c r="D36" s="43">
        <f t="shared" si="8"/>
        <v>0</v>
      </c>
      <c r="E36" s="43">
        <f t="shared" si="8"/>
        <v>0</v>
      </c>
      <c r="F36" s="43">
        <f t="shared" si="8"/>
        <v>0</v>
      </c>
      <c r="G36" s="43">
        <f t="shared" si="8"/>
        <v>13.4</v>
      </c>
      <c r="H36" s="43">
        <f t="shared" si="8"/>
        <v>8.7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0</v>
      </c>
      <c r="N36" s="43">
        <f t="shared" si="8"/>
        <v>8.156</v>
      </c>
      <c r="O36" s="43">
        <f t="shared" si="8"/>
        <v>190.758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0.671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414.25399999999996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635.9390000000001</v>
      </c>
      <c r="AK36" s="41">
        <f t="shared" si="4"/>
        <v>-165.66200000000003</v>
      </c>
      <c r="AL36" s="85"/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732.83</v>
      </c>
      <c r="D37" s="45"/>
      <c r="E37" s="17"/>
      <c r="F37" s="17"/>
      <c r="G37" s="17">
        <v>13.4</v>
      </c>
      <c r="H37" s="17"/>
      <c r="I37" s="17"/>
      <c r="J37" s="17"/>
      <c r="K37" s="17"/>
      <c r="L37" s="17"/>
      <c r="M37" s="17"/>
      <c r="N37" s="22"/>
      <c r="O37" s="17">
        <v>190.758</v>
      </c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>
        <v>412.101</v>
      </c>
      <c r="AD37" s="22"/>
      <c r="AE37" s="22"/>
      <c r="AF37" s="22"/>
      <c r="AG37" s="22"/>
      <c r="AH37" s="17"/>
      <c r="AI37" s="17"/>
      <c r="AJ37" s="17">
        <f>SUM(D37:AI37)</f>
        <v>616.259</v>
      </c>
      <c r="AK37" s="41">
        <f t="shared" si="4"/>
        <v>-116.57100000000003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1.816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>
        <v>1.784</v>
      </c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1.784</v>
      </c>
      <c r="AK38" s="41">
        <f t="shared" si="4"/>
        <v>-0.03200000000000003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35.301</v>
      </c>
      <c r="D39" s="45"/>
      <c r="E39" s="17"/>
      <c r="F39" s="17"/>
      <c r="G39" s="17"/>
      <c r="H39" s="17">
        <v>4.4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v>0.193</v>
      </c>
      <c r="V39" s="50"/>
      <c r="W39" s="17"/>
      <c r="X39" s="17"/>
      <c r="Y39" s="17"/>
      <c r="Z39" s="50"/>
      <c r="AA39" s="17"/>
      <c r="AB39" s="17"/>
      <c r="AC39" s="17">
        <v>1.323</v>
      </c>
      <c r="AD39" s="22"/>
      <c r="AE39" s="22"/>
      <c r="AF39" s="22"/>
      <c r="AG39" s="22"/>
      <c r="AH39" s="17"/>
      <c r="AI39" s="17"/>
      <c r="AJ39" s="17">
        <f>SUM(D39:AI39)</f>
        <v>5.916</v>
      </c>
      <c r="AK39" s="41">
        <f t="shared" si="4"/>
        <v>-29.385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31.654</v>
      </c>
      <c r="D40" s="45"/>
      <c r="E40" s="17"/>
      <c r="F40" s="17"/>
      <c r="G40" s="17"/>
      <c r="H40" s="17">
        <v>4.3</v>
      </c>
      <c r="I40" s="17"/>
      <c r="J40" s="17"/>
      <c r="K40" s="17"/>
      <c r="L40" s="17"/>
      <c r="M40" s="17"/>
      <c r="N40" s="17">
        <v>6.372</v>
      </c>
      <c r="O40" s="17"/>
      <c r="P40" s="17"/>
      <c r="Q40" s="17"/>
      <c r="R40" s="17"/>
      <c r="S40" s="17"/>
      <c r="T40" s="17"/>
      <c r="U40" s="17">
        <v>0.478</v>
      </c>
      <c r="V40" s="17"/>
      <c r="W40" s="17"/>
      <c r="X40" s="17"/>
      <c r="Y40" s="17"/>
      <c r="Z40" s="17"/>
      <c r="AA40" s="17"/>
      <c r="AB40" s="17"/>
      <c r="AC40" s="17">
        <v>0.83</v>
      </c>
      <c r="AD40" s="17"/>
      <c r="AE40" s="17"/>
      <c r="AF40" s="17"/>
      <c r="AG40" s="17"/>
      <c r="AH40" s="17"/>
      <c r="AI40" s="17"/>
      <c r="AJ40" s="17">
        <f>SUM(D40:AI40)</f>
        <v>11.98</v>
      </c>
      <c r="AK40" s="41">
        <f t="shared" si="4"/>
        <v>-19.674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474.185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1.053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96.882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64.453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162.388</v>
      </c>
      <c r="AK41" s="41">
        <f t="shared" si="4"/>
        <v>-311.797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440.17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96.674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/>
      <c r="AB42" s="17"/>
      <c r="AC42" s="17">
        <v>62.432</v>
      </c>
      <c r="AD42" s="22"/>
      <c r="AE42" s="22"/>
      <c r="AF42" s="22"/>
      <c r="AG42" s="22"/>
      <c r="AH42" s="17"/>
      <c r="AI42" s="17"/>
      <c r="AJ42" s="17">
        <f>SUM(D42:AI42)</f>
        <v>159.106</v>
      </c>
      <c r="AK42" s="41">
        <f t="shared" si="4"/>
        <v>-281.064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19.012</v>
      </c>
      <c r="D43" s="45"/>
      <c r="E43" s="17"/>
      <c r="F43" s="17"/>
      <c r="G43" s="17"/>
      <c r="H43" s="17"/>
      <c r="I43" s="17"/>
      <c r="J43" s="17">
        <v>0.933</v>
      </c>
      <c r="K43" s="17"/>
      <c r="L43" s="17"/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0.402</v>
      </c>
      <c r="AD43" s="22"/>
      <c r="AE43" s="22"/>
      <c r="AF43" s="22"/>
      <c r="AG43" s="22"/>
      <c r="AH43" s="17"/>
      <c r="AI43" s="17"/>
      <c r="AJ43" s="17">
        <f>SUM(D43:AI43)</f>
        <v>1.335</v>
      </c>
      <c r="AK43" s="41">
        <f t="shared" si="4"/>
        <v>-17.677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15.003</v>
      </c>
      <c r="D44" s="45"/>
      <c r="E44" s="17"/>
      <c r="F44" s="17"/>
      <c r="G44" s="17"/>
      <c r="H44" s="17"/>
      <c r="I44" s="17"/>
      <c r="J44" s="17">
        <v>0.12</v>
      </c>
      <c r="K44" s="17"/>
      <c r="L44" s="17"/>
      <c r="M44" s="17"/>
      <c r="N44" s="17">
        <v>0.208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1.619</v>
      </c>
      <c r="AD44" s="17"/>
      <c r="AE44" s="17"/>
      <c r="AF44" s="17"/>
      <c r="AG44" s="17"/>
      <c r="AH44" s="17"/>
      <c r="AI44" s="17"/>
      <c r="AJ44" s="17">
        <f>SUM(D44:AI44)</f>
        <v>1.947</v>
      </c>
      <c r="AK44" s="41">
        <f t="shared" si="4"/>
        <v>-13.056000000000001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295.145</v>
      </c>
      <c r="D45" s="43">
        <f t="shared" si="10"/>
        <v>0</v>
      </c>
      <c r="E45" s="43">
        <f t="shared" si="10"/>
        <v>0</v>
      </c>
      <c r="F45" s="43">
        <f t="shared" si="10"/>
        <v>0</v>
      </c>
      <c r="G45" s="43">
        <f t="shared" si="10"/>
        <v>0</v>
      </c>
      <c r="H45" s="43">
        <f t="shared" si="10"/>
        <v>49.9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67.892</v>
      </c>
      <c r="Y45" s="43">
        <f t="shared" si="10"/>
        <v>0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117.792</v>
      </c>
      <c r="AK45" s="41">
        <f t="shared" si="4"/>
        <v>-177.35299999999998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272.96</v>
      </c>
      <c r="D46" s="45"/>
      <c r="E46" s="17"/>
      <c r="F46" s="17"/>
      <c r="G46" s="17"/>
      <c r="H46" s="17">
        <v>49.9</v>
      </c>
      <c r="I46" s="17"/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>
        <v>54.902</v>
      </c>
      <c r="Y46" s="17"/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104.80199999999999</v>
      </c>
      <c r="AK46" s="41">
        <f t="shared" si="4"/>
        <v>-168.158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5.115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-5.115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17.07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12.99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12.99</v>
      </c>
      <c r="AK48" s="41">
        <f t="shared" si="4"/>
        <v>-4.08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113.86500000000001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0</v>
      </c>
      <c r="G49" s="43">
        <f t="shared" si="11"/>
        <v>5.9</v>
      </c>
      <c r="H49" s="43">
        <f t="shared" si="11"/>
        <v>6.8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4.257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16.957</v>
      </c>
      <c r="AK49" s="41">
        <f t="shared" si="4"/>
        <v>-96.90800000000002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92.543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0</v>
      </c>
      <c r="AK50" s="41">
        <f t="shared" si="4"/>
        <v>-92.543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21.322</v>
      </c>
      <c r="D51" s="34"/>
      <c r="E51" s="22"/>
      <c r="F51" s="22"/>
      <c r="G51" s="22">
        <v>5.9</v>
      </c>
      <c r="H51" s="22">
        <v>6.8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>
        <v>4.257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16.957</v>
      </c>
      <c r="AK51" s="41">
        <f t="shared" si="4"/>
        <v>-4.364999999999998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1887.1970000000001</v>
      </c>
      <c r="D52" s="43">
        <f t="shared" si="12"/>
        <v>0</v>
      </c>
      <c r="E52" s="43">
        <f t="shared" si="12"/>
        <v>0</v>
      </c>
      <c r="F52" s="43">
        <f t="shared" si="12"/>
        <v>0</v>
      </c>
      <c r="G52" s="43">
        <f t="shared" si="12"/>
        <v>0</v>
      </c>
      <c r="H52" s="43">
        <f t="shared" si="12"/>
        <v>1.5</v>
      </c>
      <c r="I52" s="43">
        <f t="shared" si="12"/>
        <v>0</v>
      </c>
      <c r="J52" s="43">
        <f t="shared" si="12"/>
        <v>0.23</v>
      </c>
      <c r="K52" s="43">
        <f t="shared" si="12"/>
        <v>0</v>
      </c>
      <c r="L52" s="43">
        <f t="shared" si="12"/>
        <v>0</v>
      </c>
      <c r="M52" s="43">
        <f t="shared" si="12"/>
        <v>0</v>
      </c>
      <c r="N52" s="43">
        <f t="shared" si="12"/>
        <v>208.67000000000002</v>
      </c>
      <c r="O52" s="43">
        <f t="shared" si="12"/>
        <v>0.885</v>
      </c>
      <c r="P52" s="43">
        <f t="shared" si="12"/>
        <v>0</v>
      </c>
      <c r="Q52" s="43">
        <f t="shared" si="12"/>
        <v>3.413</v>
      </c>
      <c r="R52" s="43">
        <f t="shared" si="12"/>
        <v>0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280.4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0.541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495.639</v>
      </c>
      <c r="AK52" s="41">
        <f t="shared" si="4"/>
        <v>-1391.558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1431.188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203.602</v>
      </c>
      <c r="O53" s="17"/>
      <c r="P53" s="17"/>
      <c r="Q53" s="17"/>
      <c r="R53" s="17"/>
      <c r="S53" s="17"/>
      <c r="T53" s="17"/>
      <c r="U53" s="17"/>
      <c r="V53" s="50"/>
      <c r="W53" s="17"/>
      <c r="X53" s="17">
        <v>272.71</v>
      </c>
      <c r="Y53" s="17"/>
      <c r="Z53" s="50"/>
      <c r="AA53" s="17"/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476.312</v>
      </c>
      <c r="AK53" s="41">
        <f t="shared" si="4"/>
        <v>-954.8760000000001</v>
      </c>
    </row>
    <row r="54" spans="2:37" ht="15.75">
      <c r="B54" s="44" t="s">
        <v>22</v>
      </c>
      <c r="C54" s="45">
        <v>145.086</v>
      </c>
      <c r="D54" s="45"/>
      <c r="E54" s="17"/>
      <c r="F54" s="17"/>
      <c r="G54" s="17"/>
      <c r="H54" s="17">
        <v>1.5</v>
      </c>
      <c r="I54" s="17"/>
      <c r="J54" s="17"/>
      <c r="K54" s="17"/>
      <c r="L54" s="17"/>
      <c r="M54" s="17"/>
      <c r="N54" s="22">
        <v>1.651</v>
      </c>
      <c r="O54" s="17"/>
      <c r="P54" s="17"/>
      <c r="Q54" s="17">
        <v>0.118</v>
      </c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>
        <v>0.541</v>
      </c>
      <c r="AC54" s="17"/>
      <c r="AD54" s="22"/>
      <c r="AE54" s="22"/>
      <c r="AF54" s="22"/>
      <c r="AG54" s="22"/>
      <c r="AH54" s="17"/>
      <c r="AI54" s="17"/>
      <c r="AJ54" s="17">
        <f>SUM(D54:AI54)</f>
        <v>3.8099999999999996</v>
      </c>
      <c r="AK54" s="41">
        <f t="shared" si="4"/>
        <v>-141.276</v>
      </c>
    </row>
    <row r="55" spans="2:38" ht="15.75">
      <c r="B55" s="44" t="s">
        <v>24</v>
      </c>
      <c r="C55" s="45">
        <v>310.923</v>
      </c>
      <c r="D55" s="45"/>
      <c r="E55" s="17"/>
      <c r="F55" s="17"/>
      <c r="G55" s="17"/>
      <c r="H55" s="17"/>
      <c r="I55" s="17"/>
      <c r="J55" s="17">
        <v>0.23</v>
      </c>
      <c r="K55" s="17"/>
      <c r="L55" s="17"/>
      <c r="M55" s="17"/>
      <c r="N55" s="17">
        <v>3.417</v>
      </c>
      <c r="O55" s="17">
        <v>0.885</v>
      </c>
      <c r="P55" s="17"/>
      <c r="Q55" s="17">
        <v>3.295</v>
      </c>
      <c r="R55" s="17"/>
      <c r="S55" s="17"/>
      <c r="T55" s="17"/>
      <c r="U55" s="17"/>
      <c r="V55" s="17"/>
      <c r="W55" s="17"/>
      <c r="X55" s="17">
        <v>7.69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15.517</v>
      </c>
      <c r="AK55" s="41">
        <f t="shared" si="4"/>
        <v>-295.406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1383.7379999999998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0</v>
      </c>
      <c r="G56" s="43">
        <f t="shared" si="13"/>
        <v>5.1</v>
      </c>
      <c r="H56" s="43">
        <f t="shared" si="13"/>
        <v>7.2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0</v>
      </c>
      <c r="N56" s="43">
        <f t="shared" si="13"/>
        <v>91.395</v>
      </c>
      <c r="O56" s="43">
        <f t="shared" si="13"/>
        <v>8.864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2.4250000000000003</v>
      </c>
      <c r="W56" s="43">
        <f t="shared" si="13"/>
        <v>0</v>
      </c>
      <c r="X56" s="43">
        <f t="shared" si="13"/>
        <v>1.53</v>
      </c>
      <c r="Y56" s="43">
        <f t="shared" si="13"/>
        <v>0</v>
      </c>
      <c r="Z56" s="43">
        <f t="shared" si="13"/>
        <v>0</v>
      </c>
      <c r="AA56" s="43">
        <f t="shared" si="13"/>
        <v>0</v>
      </c>
      <c r="AB56" s="43">
        <f t="shared" si="13"/>
        <v>330.851</v>
      </c>
      <c r="AC56" s="43">
        <f t="shared" si="13"/>
        <v>13.017999999999999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460.38300000000004</v>
      </c>
      <c r="AK56" s="41">
        <f t="shared" si="4"/>
        <v>-923.3549999999998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757.629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87.021</v>
      </c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>
        <v>330.591</v>
      </c>
      <c r="AC57" s="17"/>
      <c r="AD57" s="22"/>
      <c r="AE57" s="22"/>
      <c r="AF57" s="22"/>
      <c r="AG57" s="22"/>
      <c r="AH57" s="17"/>
      <c r="AI57" s="17"/>
      <c r="AJ57" s="17">
        <f>SUM(D57:AI57)</f>
        <v>417.612</v>
      </c>
      <c r="AK57" s="41">
        <f t="shared" si="4"/>
        <v>-340.017</v>
      </c>
    </row>
    <row r="58" spans="2:37" ht="15.75">
      <c r="B58" s="44" t="s">
        <v>28</v>
      </c>
      <c r="C58" s="45">
        <v>0.001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-0.001</v>
      </c>
    </row>
    <row r="59" spans="2:37" ht="15.75">
      <c r="B59" s="44" t="s">
        <v>22</v>
      </c>
      <c r="C59" s="45">
        <v>150.059</v>
      </c>
      <c r="D59" s="45"/>
      <c r="E59" s="17"/>
      <c r="F59" s="17"/>
      <c r="G59" s="17">
        <v>5.1</v>
      </c>
      <c r="H59" s="17"/>
      <c r="I59" s="17"/>
      <c r="J59" s="17"/>
      <c r="K59" s="17"/>
      <c r="L59" s="17"/>
      <c r="M59" s="17"/>
      <c r="N59" s="22"/>
      <c r="O59" s="17">
        <v>1.484</v>
      </c>
      <c r="P59" s="17"/>
      <c r="Q59" s="17"/>
      <c r="R59" s="17"/>
      <c r="S59" s="17"/>
      <c r="T59" s="17"/>
      <c r="U59" s="17"/>
      <c r="V59" s="50">
        <v>0.31</v>
      </c>
      <c r="W59" s="17"/>
      <c r="X59" s="17"/>
      <c r="Y59" s="17"/>
      <c r="Z59" s="17"/>
      <c r="AA59" s="17"/>
      <c r="AB59" s="17">
        <v>0.26</v>
      </c>
      <c r="AC59" s="17"/>
      <c r="AD59" s="22"/>
      <c r="AE59" s="22"/>
      <c r="AF59" s="22"/>
      <c r="AG59" s="22"/>
      <c r="AH59" s="17"/>
      <c r="AI59" s="17"/>
      <c r="AJ59" s="17">
        <f>SUM(D59:AI59)</f>
        <v>7.153999999999999</v>
      </c>
      <c r="AK59" s="41">
        <f t="shared" si="4"/>
        <v>-142.905</v>
      </c>
    </row>
    <row r="60" spans="2:37" ht="15.75">
      <c r="B60" s="44" t="s">
        <v>34</v>
      </c>
      <c r="C60" s="45">
        <v>75.457</v>
      </c>
      <c r="D60" s="45"/>
      <c r="E60" s="17"/>
      <c r="F60" s="17"/>
      <c r="G60" s="17"/>
      <c r="H60" s="17"/>
      <c r="I60" s="17"/>
      <c r="J60" s="17"/>
      <c r="K60" s="17"/>
      <c r="L60" s="17"/>
      <c r="M60" s="17"/>
      <c r="N60" s="22">
        <v>4.374</v>
      </c>
      <c r="O60" s="17"/>
      <c r="P60" s="17"/>
      <c r="Q60" s="17"/>
      <c r="R60" s="17"/>
      <c r="S60" s="17"/>
      <c r="T60" s="17"/>
      <c r="U60" s="17"/>
      <c r="V60" s="17"/>
      <c r="W60" s="17"/>
      <c r="X60" s="17">
        <v>1.53</v>
      </c>
      <c r="Y60" s="17"/>
      <c r="Z60" s="17"/>
      <c r="AA60" s="17"/>
      <c r="AB60" s="17"/>
      <c r="AC60" s="17">
        <v>11.338</v>
      </c>
      <c r="AD60" s="22"/>
      <c r="AE60" s="22"/>
      <c r="AF60" s="22"/>
      <c r="AG60" s="17"/>
      <c r="AH60" s="22"/>
      <c r="AI60" s="22"/>
      <c r="AJ60" s="17">
        <f>SUM(D60:AI60)</f>
        <v>17.241999999999997</v>
      </c>
      <c r="AK60" s="41">
        <f t="shared" si="4"/>
        <v>-58.214999999999996</v>
      </c>
    </row>
    <row r="61" spans="2:37" ht="15.75">
      <c r="B61" s="44" t="s">
        <v>24</v>
      </c>
      <c r="C61" s="45">
        <v>400.592</v>
      </c>
      <c r="D61" s="45"/>
      <c r="E61" s="17"/>
      <c r="F61" s="17"/>
      <c r="G61" s="17"/>
      <c r="H61" s="17">
        <v>7.2</v>
      </c>
      <c r="I61" s="17"/>
      <c r="J61" s="17">
        <v>0</v>
      </c>
      <c r="K61" s="17"/>
      <c r="L61" s="17"/>
      <c r="M61" s="17"/>
      <c r="N61" s="17"/>
      <c r="O61" s="17">
        <v>7.38</v>
      </c>
      <c r="P61" s="17"/>
      <c r="Q61" s="17"/>
      <c r="R61" s="17"/>
      <c r="S61" s="17"/>
      <c r="T61" s="17"/>
      <c r="U61" s="17"/>
      <c r="V61" s="17">
        <v>2.115</v>
      </c>
      <c r="W61" s="17"/>
      <c r="X61" s="17"/>
      <c r="Y61" s="17"/>
      <c r="Z61" s="17"/>
      <c r="AA61" s="17"/>
      <c r="AB61" s="17"/>
      <c r="AC61" s="17">
        <v>1.68</v>
      </c>
      <c r="AD61" s="17"/>
      <c r="AE61" s="17"/>
      <c r="AF61" s="17"/>
      <c r="AG61" s="17"/>
      <c r="AH61" s="17"/>
      <c r="AI61" s="17"/>
      <c r="AJ61" s="17">
        <f>SUM(D61:AI61)</f>
        <v>18.375</v>
      </c>
      <c r="AK61" s="41">
        <f t="shared" si="4"/>
        <v>-382.217</v>
      </c>
    </row>
    <row r="62" spans="2:37" ht="29.25">
      <c r="B62" s="42" t="s">
        <v>48</v>
      </c>
      <c r="C62" s="43">
        <f>C63</f>
        <v>171</v>
      </c>
      <c r="D62" s="43">
        <f>D63</f>
        <v>0</v>
      </c>
      <c r="E62" s="43">
        <f>E63</f>
        <v>0</v>
      </c>
      <c r="F62" s="43">
        <f aca="true" t="shared" si="14" ref="F62:AH62">F63</f>
        <v>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>
        <f t="shared" si="14"/>
        <v>0</v>
      </c>
      <c r="R62" s="43">
        <f t="shared" si="14"/>
        <v>0</v>
      </c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>
        <f t="shared" si="14"/>
        <v>21</v>
      </c>
      <c r="Y62" s="43">
        <f t="shared" si="14"/>
        <v>0</v>
      </c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>
        <f t="shared" si="14"/>
        <v>0</v>
      </c>
      <c r="AF62" s="43">
        <f t="shared" si="14"/>
        <v>0</v>
      </c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21</v>
      </c>
      <c r="AK62" s="41">
        <f t="shared" si="4"/>
        <v>-150</v>
      </c>
    </row>
    <row r="63" spans="2:37" ht="15.75">
      <c r="B63" s="44" t="s">
        <v>34</v>
      </c>
      <c r="C63" s="45">
        <v>171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>
        <v>21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21</v>
      </c>
      <c r="AK63" s="41">
        <f t="shared" si="4"/>
        <v>-150</v>
      </c>
    </row>
    <row r="64" spans="2:37" ht="57.75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4479.76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893.8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4.262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921.587</v>
      </c>
      <c r="V66" s="43">
        <f t="shared" si="16"/>
        <v>0</v>
      </c>
      <c r="W66" s="43">
        <f t="shared" si="16"/>
        <v>0</v>
      </c>
      <c r="X66" s="43">
        <f t="shared" si="16"/>
        <v>21.773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132.786</v>
      </c>
      <c r="AC66" s="43">
        <f t="shared" si="16"/>
        <v>17.281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1991.4889999999998</v>
      </c>
      <c r="AK66" s="41">
        <f t="shared" si="4"/>
        <v>-2488.2710000000006</v>
      </c>
    </row>
    <row r="67" spans="2:37" ht="15.75">
      <c r="B67" s="56" t="s">
        <v>50</v>
      </c>
      <c r="C67" s="34">
        <v>491.004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>
        <v>132.786</v>
      </c>
      <c r="AC67" s="22"/>
      <c r="AD67" s="22"/>
      <c r="AE67" s="22"/>
      <c r="AF67" s="22"/>
      <c r="AG67" s="22"/>
      <c r="AH67" s="22"/>
      <c r="AI67" s="22"/>
      <c r="AJ67" s="22">
        <f>SUM(D67:AI67)</f>
        <v>132.786</v>
      </c>
      <c r="AK67" s="41">
        <f t="shared" si="4"/>
        <v>-358.218</v>
      </c>
    </row>
    <row r="68" spans="2:37" ht="15.75">
      <c r="B68" s="56" t="s">
        <v>34</v>
      </c>
      <c r="C68" s="34">
        <v>3988.756</v>
      </c>
      <c r="D68" s="34"/>
      <c r="E68" s="22"/>
      <c r="F68" s="22"/>
      <c r="G68" s="22"/>
      <c r="H68" s="22">
        <v>893.8</v>
      </c>
      <c r="I68" s="22"/>
      <c r="J68" s="22"/>
      <c r="K68" s="22"/>
      <c r="L68" s="22"/>
      <c r="M68" s="22"/>
      <c r="N68" s="22">
        <v>4.262</v>
      </c>
      <c r="O68" s="22"/>
      <c r="P68" s="22"/>
      <c r="Q68" s="22"/>
      <c r="R68" s="22"/>
      <c r="S68" s="22"/>
      <c r="T68" s="22"/>
      <c r="U68" s="22">
        <v>921.587</v>
      </c>
      <c r="V68" s="22"/>
      <c r="W68" s="22"/>
      <c r="X68" s="22">
        <v>21.773</v>
      </c>
      <c r="Y68" s="22"/>
      <c r="Z68" s="22"/>
      <c r="AA68" s="22"/>
      <c r="AB68" s="22"/>
      <c r="AC68" s="22">
        <v>17.281</v>
      </c>
      <c r="AD68" s="22"/>
      <c r="AE68" s="22"/>
      <c r="AF68" s="22"/>
      <c r="AG68" s="22"/>
      <c r="AH68" s="22"/>
      <c r="AI68" s="22"/>
      <c r="AJ68" s="22">
        <f>SUM(D68:AI68)</f>
        <v>1858.7029999999997</v>
      </c>
      <c r="AK68" s="41">
        <f t="shared" si="4"/>
        <v>-2130.053</v>
      </c>
    </row>
    <row r="69" spans="2:37" ht="15.75">
      <c r="B69" s="42" t="s">
        <v>51</v>
      </c>
      <c r="C69" s="43">
        <f>C70+C71</f>
        <v>6.275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0</v>
      </c>
      <c r="AK69" s="41">
        <f t="shared" si="4"/>
        <v>-6.275</v>
      </c>
    </row>
    <row r="70" spans="2:37" ht="15.75">
      <c r="B70" s="44" t="s">
        <v>22</v>
      </c>
      <c r="C70" s="34">
        <v>4.314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-4.314</v>
      </c>
    </row>
    <row r="71" spans="2:37" ht="15.75">
      <c r="B71" s="44" t="s">
        <v>34</v>
      </c>
      <c r="C71" s="34">
        <v>1.961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0</v>
      </c>
      <c r="AK71" s="41">
        <f t="shared" si="4"/>
        <v>-1.961</v>
      </c>
    </row>
    <row r="72" spans="2:37" ht="45" customHeight="1" hidden="1">
      <c r="B72" s="57" t="s">
        <v>52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2:49" s="76" customFormat="1" ht="28.5">
      <c r="B73" s="80" t="s">
        <v>79</v>
      </c>
      <c r="C73" s="81">
        <v>56.381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>
        <f>SUM(E73:AI73)</f>
        <v>0</v>
      </c>
      <c r="AK73" s="77"/>
      <c r="AM73" s="78"/>
      <c r="AN73" s="78"/>
      <c r="AO73" s="78"/>
      <c r="AP73" s="79"/>
      <c r="AQ73" s="79"/>
      <c r="AR73" s="79"/>
      <c r="AS73" s="79"/>
      <c r="AT73" s="79"/>
      <c r="AU73" s="79"/>
      <c r="AV73" s="79"/>
      <c r="AW73" s="79"/>
    </row>
    <row r="74" spans="1:38" ht="15.75">
      <c r="A74" s="1">
        <v>170703</v>
      </c>
      <c r="B74" s="42" t="s">
        <v>53</v>
      </c>
      <c r="C74" s="43">
        <f>C75</f>
        <v>1219.415</v>
      </c>
      <c r="D74" s="43">
        <f aca="true" t="shared" si="18" ref="D74:AJ74">D75</f>
        <v>0</v>
      </c>
      <c r="E74" s="43">
        <f t="shared" si="18"/>
        <v>0</v>
      </c>
      <c r="F74" s="43">
        <f t="shared" si="18"/>
        <v>0</v>
      </c>
      <c r="G74" s="43">
        <f t="shared" si="18"/>
        <v>0</v>
      </c>
      <c r="H74" s="43">
        <f t="shared" si="18"/>
        <v>0</v>
      </c>
      <c r="I74" s="43">
        <f t="shared" si="18"/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3">
        <f t="shared" si="18"/>
        <v>0</v>
      </c>
      <c r="Q74" s="43">
        <f t="shared" si="18"/>
        <v>1050.99</v>
      </c>
      <c r="R74" s="43">
        <f t="shared" si="18"/>
        <v>0</v>
      </c>
      <c r="S74" s="43">
        <f t="shared" si="18"/>
        <v>0</v>
      </c>
      <c r="T74" s="43">
        <f t="shared" si="18"/>
        <v>0</v>
      </c>
      <c r="U74" s="43">
        <f t="shared" si="18"/>
        <v>0</v>
      </c>
      <c r="V74" s="43">
        <f t="shared" si="18"/>
        <v>0</v>
      </c>
      <c r="W74" s="43">
        <f t="shared" si="18"/>
        <v>0</v>
      </c>
      <c r="X74" s="43">
        <f t="shared" si="18"/>
        <v>0</v>
      </c>
      <c r="Y74" s="43">
        <f t="shared" si="18"/>
        <v>0</v>
      </c>
      <c r="Z74" s="43">
        <f t="shared" si="18"/>
        <v>0</v>
      </c>
      <c r="AA74" s="43">
        <f t="shared" si="18"/>
        <v>0</v>
      </c>
      <c r="AB74" s="43">
        <f t="shared" si="18"/>
        <v>0</v>
      </c>
      <c r="AC74" s="43">
        <f t="shared" si="18"/>
        <v>0</v>
      </c>
      <c r="AD74" s="43">
        <f t="shared" si="18"/>
        <v>0</v>
      </c>
      <c r="AE74" s="43">
        <f t="shared" si="18"/>
        <v>0</v>
      </c>
      <c r="AF74" s="43">
        <f t="shared" si="18"/>
        <v>0</v>
      </c>
      <c r="AG74" s="43">
        <f t="shared" si="18"/>
        <v>0</v>
      </c>
      <c r="AH74" s="43">
        <f t="shared" si="18"/>
        <v>0</v>
      </c>
      <c r="AI74" s="43">
        <f t="shared" si="18"/>
        <v>0</v>
      </c>
      <c r="AJ74" s="43">
        <f t="shared" si="18"/>
        <v>1050.99</v>
      </c>
      <c r="AK74" s="41">
        <f t="shared" si="4"/>
        <v>-168.42499999999995</v>
      </c>
      <c r="AL74" s="26"/>
    </row>
    <row r="75" spans="2:49" s="26" customFormat="1" ht="15.75">
      <c r="B75" s="56" t="s">
        <v>50</v>
      </c>
      <c r="C75" s="34">
        <v>1219.415</v>
      </c>
      <c r="D75" s="3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>
        <v>1050.99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>SUM(D75:AI75)</f>
        <v>1050.99</v>
      </c>
      <c r="AK75" s="41">
        <f t="shared" si="4"/>
        <v>-168.42499999999995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28.5">
      <c r="B76" s="57" t="s">
        <v>54</v>
      </c>
      <c r="C76" s="43">
        <v>50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>SUM(D76:AI76)</f>
        <v>0</v>
      </c>
      <c r="AK76" s="41">
        <f t="shared" si="4"/>
        <v>-50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15.75">
      <c r="B77" s="57" t="s">
        <v>55</v>
      </c>
      <c r="C77" s="43">
        <v>310.2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aca="true" t="shared" si="19" ref="AJ77:AJ86">SUM(D77:AI77)</f>
        <v>0</v>
      </c>
      <c r="AK77" s="41">
        <f t="shared" si="4"/>
        <v>-310.2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56</v>
      </c>
      <c r="C78" s="43">
        <v>0.607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</v>
      </c>
      <c r="AK78" s="41">
        <f t="shared" si="4"/>
        <v>-0.607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65</v>
      </c>
      <c r="C79" s="43">
        <v>408.874</v>
      </c>
      <c r="D79" s="43"/>
      <c r="E79" s="43"/>
      <c r="F79" s="43"/>
      <c r="G79" s="43"/>
      <c r="H79" s="43"/>
      <c r="I79" s="43"/>
      <c r="J79" s="43">
        <v>3.995</v>
      </c>
      <c r="K79" s="43"/>
      <c r="L79" s="43"/>
      <c r="M79" s="43"/>
      <c r="N79" s="43">
        <v>58.983</v>
      </c>
      <c r="O79" s="43"/>
      <c r="P79" s="43"/>
      <c r="Q79" s="43"/>
      <c r="R79" s="43"/>
      <c r="S79" s="43"/>
      <c r="T79" s="43"/>
      <c r="U79" s="43"/>
      <c r="V79" s="43"/>
      <c r="W79" s="43"/>
      <c r="X79" s="43">
        <v>161.534</v>
      </c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224.512</v>
      </c>
      <c r="AK79" s="41">
        <f t="shared" si="4"/>
        <v>-184.36200000000002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2:49" s="26" customFormat="1" ht="15.75">
      <c r="B80" s="57" t="s">
        <v>57</v>
      </c>
      <c r="C80" s="43">
        <v>420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-420</v>
      </c>
      <c r="AM80" s="52"/>
      <c r="AN80" s="52"/>
      <c r="AO80" s="52"/>
      <c r="AP80" s="33"/>
      <c r="AQ80" s="33"/>
      <c r="AR80" s="33"/>
      <c r="AS80" s="33"/>
      <c r="AT80" s="33"/>
      <c r="AU80" s="33"/>
      <c r="AV80" s="33"/>
      <c r="AW80" s="33"/>
    </row>
    <row r="81" spans="1:49" s="1" customFormat="1" ht="15.75">
      <c r="A81" s="1">
        <v>250102</v>
      </c>
      <c r="B81" s="42" t="s">
        <v>58</v>
      </c>
      <c r="C81" s="43"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57.75" hidden="1">
      <c r="B82" s="42" t="s">
        <v>59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t="shared" si="4"/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82.5" customHeight="1" hidden="1">
      <c r="B83" s="42" t="s">
        <v>60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>
        <f aca="true" t="shared" si="20" ref="AK83:AK94">AJ83-C83</f>
        <v>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18" customHeight="1">
      <c r="B84" s="42" t="s">
        <v>76</v>
      </c>
      <c r="C84" s="43">
        <v>50</v>
      </c>
      <c r="D84" s="43"/>
      <c r="E84" s="43"/>
      <c r="F84" s="43"/>
      <c r="G84" s="43"/>
      <c r="H84" s="43"/>
      <c r="I84" s="43"/>
      <c r="J84" s="43">
        <v>50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50</v>
      </c>
      <c r="AK84" s="41">
        <f t="shared" si="20"/>
        <v>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42" t="s">
        <v>61</v>
      </c>
      <c r="C85" s="43"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0</v>
      </c>
      <c r="AK85" s="41">
        <f t="shared" si="20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3.5">
      <c r="B86" s="42" t="s">
        <v>62</v>
      </c>
      <c r="C86" s="43"/>
      <c r="D86" s="43"/>
      <c r="E86" s="43"/>
      <c r="F86" s="43"/>
      <c r="G86" s="43">
        <v>18</v>
      </c>
      <c r="H86" s="43">
        <v>447</v>
      </c>
      <c r="I86" s="43"/>
      <c r="J86" s="43">
        <v>289.553</v>
      </c>
      <c r="K86" s="43"/>
      <c r="L86" s="43"/>
      <c r="M86" s="43"/>
      <c r="N86" s="43">
        <f>76.75+2.1</f>
        <v>78.85</v>
      </c>
      <c r="O86" s="43">
        <v>2609.003</v>
      </c>
      <c r="P86" s="43"/>
      <c r="Q86" s="43">
        <v>34.308</v>
      </c>
      <c r="R86" s="43"/>
      <c r="S86" s="43"/>
      <c r="T86" s="43"/>
      <c r="U86" s="43"/>
      <c r="V86" s="43">
        <v>1091.438</v>
      </c>
      <c r="W86" s="43"/>
      <c r="X86" s="43">
        <v>109.335</v>
      </c>
      <c r="Y86" s="43"/>
      <c r="Z86" s="43"/>
      <c r="AA86" s="43"/>
      <c r="AB86" s="43"/>
      <c r="AC86" s="43">
        <f>-202.741+24.996</f>
        <v>-177.745</v>
      </c>
      <c r="AD86" s="43"/>
      <c r="AE86" s="43"/>
      <c r="AF86" s="43"/>
      <c r="AG86" s="43"/>
      <c r="AH86" s="43"/>
      <c r="AI86" s="43"/>
      <c r="AJ86" s="43">
        <f t="shared" si="19"/>
        <v>4499.742</v>
      </c>
      <c r="AK86" s="41">
        <f t="shared" si="20"/>
        <v>4499.742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5.75">
      <c r="B87" s="58" t="s">
        <v>63</v>
      </c>
      <c r="C87" s="59">
        <f>SUM(C88:C94)</f>
        <v>46011.519</v>
      </c>
      <c r="D87" s="59">
        <f aca="true" t="shared" si="21" ref="D87:AJ87">SUM(D88:D94)</f>
        <v>0</v>
      </c>
      <c r="E87" s="59">
        <f t="shared" si="21"/>
        <v>0</v>
      </c>
      <c r="F87" s="59">
        <f t="shared" si="21"/>
        <v>0</v>
      </c>
      <c r="G87" s="59">
        <f t="shared" si="21"/>
        <v>160.5</v>
      </c>
      <c r="H87" s="59">
        <f t="shared" si="21"/>
        <v>1450.3999999999999</v>
      </c>
      <c r="I87" s="59">
        <f t="shared" si="21"/>
        <v>0</v>
      </c>
      <c r="J87" s="59">
        <f t="shared" si="21"/>
        <v>698.754</v>
      </c>
      <c r="K87" s="59">
        <f t="shared" si="21"/>
        <v>0</v>
      </c>
      <c r="L87" s="59">
        <f t="shared" si="21"/>
        <v>0</v>
      </c>
      <c r="M87" s="59">
        <f t="shared" si="21"/>
        <v>0</v>
      </c>
      <c r="N87" s="59">
        <f t="shared" si="21"/>
        <v>2320.8120000000004</v>
      </c>
      <c r="O87" s="59">
        <f t="shared" si="21"/>
        <v>4617.5470000000005</v>
      </c>
      <c r="P87" s="59">
        <f t="shared" si="21"/>
        <v>0</v>
      </c>
      <c r="Q87" s="59">
        <f t="shared" si="21"/>
        <v>1279.824</v>
      </c>
      <c r="R87" s="59">
        <f t="shared" si="21"/>
        <v>0</v>
      </c>
      <c r="S87" s="59">
        <f t="shared" si="21"/>
        <v>0</v>
      </c>
      <c r="T87" s="59">
        <f t="shared" si="21"/>
        <v>0</v>
      </c>
      <c r="U87" s="59">
        <f t="shared" si="21"/>
        <v>960.653</v>
      </c>
      <c r="V87" s="59">
        <f t="shared" si="21"/>
        <v>1843.799</v>
      </c>
      <c r="W87" s="59">
        <f t="shared" si="21"/>
        <v>0</v>
      </c>
      <c r="X87" s="59">
        <f t="shared" si="21"/>
        <v>2086.578</v>
      </c>
      <c r="Y87" s="59">
        <f t="shared" si="21"/>
        <v>0</v>
      </c>
      <c r="Z87" s="59">
        <f t="shared" si="21"/>
        <v>0</v>
      </c>
      <c r="AA87" s="59">
        <f t="shared" si="21"/>
        <v>0</v>
      </c>
      <c r="AB87" s="59">
        <f t="shared" si="21"/>
        <v>1849.759</v>
      </c>
      <c r="AC87" s="59">
        <f t="shared" si="21"/>
        <v>3545.8849999999998</v>
      </c>
      <c r="AD87" s="59">
        <f t="shared" si="21"/>
        <v>0</v>
      </c>
      <c r="AE87" s="59">
        <f t="shared" si="21"/>
        <v>0</v>
      </c>
      <c r="AF87" s="59">
        <f t="shared" si="21"/>
        <v>0</v>
      </c>
      <c r="AG87" s="59">
        <f t="shared" si="21"/>
        <v>0</v>
      </c>
      <c r="AH87" s="59">
        <f t="shared" si="21"/>
        <v>0</v>
      </c>
      <c r="AI87" s="59">
        <f t="shared" si="21"/>
        <v>0</v>
      </c>
      <c r="AJ87" s="59">
        <f t="shared" si="21"/>
        <v>20814.511</v>
      </c>
      <c r="AK87" s="41">
        <f t="shared" si="20"/>
        <v>-25197.008</v>
      </c>
      <c r="AL87" s="5"/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1:49" s="8" customFormat="1" ht="15.75">
      <c r="A88" s="5"/>
      <c r="B88" s="44" t="s">
        <v>20</v>
      </c>
      <c r="C88" s="45">
        <f aca="true" t="shared" si="22" ref="C88:AJ88">C20+C37+C42+C46+C50+C53+C57+C24</f>
        <v>21943.470999999998</v>
      </c>
      <c r="D88" s="45">
        <f t="shared" si="22"/>
        <v>0</v>
      </c>
      <c r="E88" s="45">
        <f t="shared" si="22"/>
        <v>0</v>
      </c>
      <c r="F88" s="45">
        <f t="shared" si="22"/>
        <v>0</v>
      </c>
      <c r="G88" s="45">
        <f t="shared" si="22"/>
        <v>77.3</v>
      </c>
      <c r="H88" s="45">
        <f t="shared" si="22"/>
        <v>49.9</v>
      </c>
      <c r="I88" s="45">
        <f t="shared" si="22"/>
        <v>0</v>
      </c>
      <c r="J88" s="45">
        <f t="shared" si="22"/>
        <v>277.491</v>
      </c>
      <c r="K88" s="45">
        <f t="shared" si="22"/>
        <v>0</v>
      </c>
      <c r="L88" s="45">
        <f t="shared" si="22"/>
        <v>0</v>
      </c>
      <c r="M88" s="45">
        <f t="shared" si="22"/>
        <v>0</v>
      </c>
      <c r="N88" s="45">
        <f t="shared" si="22"/>
        <v>2077.514</v>
      </c>
      <c r="O88" s="45">
        <f t="shared" si="22"/>
        <v>1949.835</v>
      </c>
      <c r="P88" s="45">
        <f t="shared" si="22"/>
        <v>0</v>
      </c>
      <c r="Q88" s="45">
        <f t="shared" si="22"/>
        <v>3.84</v>
      </c>
      <c r="R88" s="45">
        <f t="shared" si="22"/>
        <v>0</v>
      </c>
      <c r="S88" s="45">
        <f t="shared" si="22"/>
        <v>0</v>
      </c>
      <c r="T88" s="45">
        <f t="shared" si="22"/>
        <v>0</v>
      </c>
      <c r="U88" s="45">
        <f t="shared" si="22"/>
        <v>0</v>
      </c>
      <c r="V88" s="45">
        <f t="shared" si="22"/>
        <v>633.5550000000001</v>
      </c>
      <c r="W88" s="45">
        <f t="shared" si="22"/>
        <v>0</v>
      </c>
      <c r="X88" s="45">
        <f t="shared" si="22"/>
        <v>1512.2669999999998</v>
      </c>
      <c r="Y88" s="45">
        <f t="shared" si="22"/>
        <v>0</v>
      </c>
      <c r="Z88" s="45">
        <f t="shared" si="22"/>
        <v>0</v>
      </c>
      <c r="AA88" s="45">
        <f t="shared" si="22"/>
        <v>0</v>
      </c>
      <c r="AB88" s="45">
        <f t="shared" si="22"/>
        <v>1707.976</v>
      </c>
      <c r="AC88" s="45">
        <f t="shared" si="22"/>
        <v>3350.433</v>
      </c>
      <c r="AD88" s="45">
        <f t="shared" si="22"/>
        <v>0</v>
      </c>
      <c r="AE88" s="45">
        <f t="shared" si="22"/>
        <v>0</v>
      </c>
      <c r="AF88" s="45">
        <f t="shared" si="22"/>
        <v>0</v>
      </c>
      <c r="AG88" s="45">
        <f t="shared" si="22"/>
        <v>0</v>
      </c>
      <c r="AH88" s="45">
        <f t="shared" si="22"/>
        <v>0</v>
      </c>
      <c r="AI88" s="45">
        <f t="shared" si="22"/>
        <v>0</v>
      </c>
      <c r="AJ88" s="45">
        <f t="shared" si="22"/>
        <v>11640.110999999997</v>
      </c>
      <c r="AK88" s="41">
        <f t="shared" si="20"/>
        <v>-10303.36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28</v>
      </c>
      <c r="C89" s="45">
        <f aca="true" t="shared" si="23" ref="C89:AJ89">C25+C38+C58</f>
        <v>21.498</v>
      </c>
      <c r="D89" s="45">
        <f t="shared" si="23"/>
        <v>0</v>
      </c>
      <c r="E89" s="45">
        <f t="shared" si="23"/>
        <v>0</v>
      </c>
      <c r="F89" s="45">
        <f t="shared" si="23"/>
        <v>0</v>
      </c>
      <c r="G89" s="45">
        <f t="shared" si="23"/>
        <v>0</v>
      </c>
      <c r="H89" s="45">
        <f t="shared" si="23"/>
        <v>0</v>
      </c>
      <c r="I89" s="45">
        <f t="shared" si="23"/>
        <v>0</v>
      </c>
      <c r="J89" s="45">
        <f t="shared" si="23"/>
        <v>0</v>
      </c>
      <c r="K89" s="45">
        <f t="shared" si="23"/>
        <v>0</v>
      </c>
      <c r="L89" s="45">
        <f t="shared" si="23"/>
        <v>0</v>
      </c>
      <c r="M89" s="45">
        <f t="shared" si="23"/>
        <v>0</v>
      </c>
      <c r="N89" s="45">
        <f t="shared" si="23"/>
        <v>1.784</v>
      </c>
      <c r="O89" s="45">
        <f t="shared" si="23"/>
        <v>0</v>
      </c>
      <c r="P89" s="45">
        <f t="shared" si="23"/>
        <v>0</v>
      </c>
      <c r="Q89" s="45">
        <f t="shared" si="23"/>
        <v>0</v>
      </c>
      <c r="R89" s="45">
        <f t="shared" si="23"/>
        <v>0</v>
      </c>
      <c r="S89" s="45">
        <f t="shared" si="23"/>
        <v>0</v>
      </c>
      <c r="T89" s="45">
        <f t="shared" si="23"/>
        <v>0</v>
      </c>
      <c r="U89" s="45">
        <f t="shared" si="23"/>
        <v>0</v>
      </c>
      <c r="V89" s="45">
        <f t="shared" si="23"/>
        <v>19.225</v>
      </c>
      <c r="W89" s="45">
        <f t="shared" si="23"/>
        <v>0</v>
      </c>
      <c r="X89" s="45">
        <f t="shared" si="23"/>
        <v>0.7</v>
      </c>
      <c r="Y89" s="45">
        <f t="shared" si="23"/>
        <v>0</v>
      </c>
      <c r="Z89" s="45">
        <f t="shared" si="23"/>
        <v>0</v>
      </c>
      <c r="AA89" s="45">
        <f t="shared" si="23"/>
        <v>0</v>
      </c>
      <c r="AB89" s="45">
        <f t="shared" si="23"/>
        <v>0</v>
      </c>
      <c r="AC89" s="45">
        <f t="shared" si="23"/>
        <v>2.903</v>
      </c>
      <c r="AD89" s="45">
        <f t="shared" si="23"/>
        <v>0</v>
      </c>
      <c r="AE89" s="45">
        <f t="shared" si="23"/>
        <v>0</v>
      </c>
      <c r="AF89" s="45">
        <f t="shared" si="23"/>
        <v>0</v>
      </c>
      <c r="AG89" s="45">
        <f t="shared" si="23"/>
        <v>0</v>
      </c>
      <c r="AH89" s="45">
        <f t="shared" si="23"/>
        <v>0</v>
      </c>
      <c r="AI89" s="45">
        <f t="shared" si="23"/>
        <v>0</v>
      </c>
      <c r="AJ89" s="45">
        <f t="shared" si="23"/>
        <v>24.612</v>
      </c>
      <c r="AK89" s="41">
        <f t="shared" si="20"/>
        <v>3.113999999999997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30</v>
      </c>
      <c r="C90" s="45">
        <f aca="true" t="shared" si="24" ref="C90:AJ90">C26</f>
        <v>2845.173</v>
      </c>
      <c r="D90" s="45">
        <f t="shared" si="24"/>
        <v>0</v>
      </c>
      <c r="E90" s="45">
        <f t="shared" si="24"/>
        <v>0</v>
      </c>
      <c r="F90" s="45">
        <f t="shared" si="24"/>
        <v>0</v>
      </c>
      <c r="G90" s="45">
        <f t="shared" si="24"/>
        <v>3</v>
      </c>
      <c r="H90" s="45">
        <f t="shared" si="24"/>
        <v>0</v>
      </c>
      <c r="I90" s="45">
        <f t="shared" si="24"/>
        <v>0</v>
      </c>
      <c r="J90" s="45">
        <f t="shared" si="24"/>
        <v>0</v>
      </c>
      <c r="K90" s="45">
        <f t="shared" si="24"/>
        <v>0</v>
      </c>
      <c r="L90" s="45">
        <f t="shared" si="24"/>
        <v>0</v>
      </c>
      <c r="M90" s="45">
        <f t="shared" si="24"/>
        <v>0</v>
      </c>
      <c r="N90" s="45">
        <f t="shared" si="24"/>
        <v>54.654</v>
      </c>
      <c r="O90" s="45">
        <f t="shared" si="24"/>
        <v>13.975</v>
      </c>
      <c r="P90" s="45">
        <f t="shared" si="24"/>
        <v>0</v>
      </c>
      <c r="Q90" s="45">
        <f t="shared" si="24"/>
        <v>49.487</v>
      </c>
      <c r="R90" s="45">
        <f t="shared" si="24"/>
        <v>0</v>
      </c>
      <c r="S90" s="45">
        <f t="shared" si="24"/>
        <v>0</v>
      </c>
      <c r="T90" s="45">
        <f t="shared" si="24"/>
        <v>0</v>
      </c>
      <c r="U90" s="45">
        <f t="shared" si="24"/>
        <v>7.162</v>
      </c>
      <c r="V90" s="45">
        <f t="shared" si="24"/>
        <v>13.295</v>
      </c>
      <c r="W90" s="45">
        <f t="shared" si="24"/>
        <v>0</v>
      </c>
      <c r="X90" s="45">
        <f t="shared" si="24"/>
        <v>15.538</v>
      </c>
      <c r="Y90" s="45">
        <f t="shared" si="24"/>
        <v>0</v>
      </c>
      <c r="Z90" s="45">
        <f t="shared" si="24"/>
        <v>0</v>
      </c>
      <c r="AA90" s="45">
        <f t="shared" si="24"/>
        <v>0</v>
      </c>
      <c r="AB90" s="45">
        <f t="shared" si="24"/>
        <v>0</v>
      </c>
      <c r="AC90" s="45">
        <f t="shared" si="24"/>
        <v>58.527</v>
      </c>
      <c r="AD90" s="45">
        <f t="shared" si="24"/>
        <v>0</v>
      </c>
      <c r="AE90" s="45">
        <f t="shared" si="24"/>
        <v>0</v>
      </c>
      <c r="AF90" s="45">
        <f t="shared" si="24"/>
        <v>0</v>
      </c>
      <c r="AG90" s="45">
        <f t="shared" si="24"/>
        <v>0</v>
      </c>
      <c r="AH90" s="45">
        <f t="shared" si="24"/>
        <v>0</v>
      </c>
      <c r="AI90" s="45">
        <f t="shared" si="24"/>
        <v>0</v>
      </c>
      <c r="AJ90" s="45">
        <f t="shared" si="24"/>
        <v>215.63800000000003</v>
      </c>
      <c r="AK90" s="41">
        <f t="shared" si="20"/>
        <v>-2629.535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22</v>
      </c>
      <c r="C91" s="45">
        <f aca="true" t="shared" si="25" ref="C91:AJ91">C21+C27+C39+C43+C47+C54+C59+C70</f>
        <v>4964.751000000001</v>
      </c>
      <c r="D91" s="45">
        <f t="shared" si="25"/>
        <v>0</v>
      </c>
      <c r="E91" s="45">
        <f t="shared" si="25"/>
        <v>0</v>
      </c>
      <c r="F91" s="45">
        <f t="shared" si="25"/>
        <v>0</v>
      </c>
      <c r="G91" s="45">
        <f t="shared" si="25"/>
        <v>48.6</v>
      </c>
      <c r="H91" s="45">
        <f t="shared" si="25"/>
        <v>20.200000000000003</v>
      </c>
      <c r="I91" s="45">
        <f t="shared" si="25"/>
        <v>0</v>
      </c>
      <c r="J91" s="45">
        <f t="shared" si="25"/>
        <v>25.273999999999997</v>
      </c>
      <c r="K91" s="45">
        <f t="shared" si="25"/>
        <v>0</v>
      </c>
      <c r="L91" s="45">
        <f t="shared" si="25"/>
        <v>0</v>
      </c>
      <c r="M91" s="45">
        <f t="shared" si="25"/>
        <v>0</v>
      </c>
      <c r="N91" s="45">
        <f t="shared" si="25"/>
        <v>6.273</v>
      </c>
      <c r="O91" s="45">
        <f t="shared" si="25"/>
        <v>5.912</v>
      </c>
      <c r="P91" s="45">
        <f t="shared" si="25"/>
        <v>0</v>
      </c>
      <c r="Q91" s="45">
        <f t="shared" si="25"/>
        <v>1.697</v>
      </c>
      <c r="R91" s="45">
        <f t="shared" si="25"/>
        <v>0</v>
      </c>
      <c r="S91" s="45">
        <f t="shared" si="25"/>
        <v>0</v>
      </c>
      <c r="T91" s="45">
        <f t="shared" si="25"/>
        <v>0</v>
      </c>
      <c r="U91" s="45">
        <f t="shared" si="25"/>
        <v>2.838</v>
      </c>
      <c r="V91" s="45">
        <f t="shared" si="25"/>
        <v>5.502999999999999</v>
      </c>
      <c r="W91" s="45">
        <f t="shared" si="25"/>
        <v>0</v>
      </c>
      <c r="X91" s="45">
        <f t="shared" si="25"/>
        <v>11.831</v>
      </c>
      <c r="Y91" s="45">
        <f t="shared" si="25"/>
        <v>0</v>
      </c>
      <c r="Z91" s="45">
        <f t="shared" si="25"/>
        <v>0</v>
      </c>
      <c r="AA91" s="45">
        <f t="shared" si="25"/>
        <v>0</v>
      </c>
      <c r="AB91" s="45">
        <f t="shared" si="25"/>
        <v>0.801</v>
      </c>
      <c r="AC91" s="45">
        <f t="shared" si="25"/>
        <v>14.27</v>
      </c>
      <c r="AD91" s="45">
        <f t="shared" si="25"/>
        <v>0</v>
      </c>
      <c r="AE91" s="45">
        <f t="shared" si="25"/>
        <v>0</v>
      </c>
      <c r="AF91" s="45">
        <f t="shared" si="25"/>
        <v>0</v>
      </c>
      <c r="AG91" s="45">
        <f t="shared" si="25"/>
        <v>0</v>
      </c>
      <c r="AH91" s="45">
        <f t="shared" si="25"/>
        <v>0</v>
      </c>
      <c r="AI91" s="45">
        <f t="shared" si="25"/>
        <v>0</v>
      </c>
      <c r="AJ91" s="45">
        <f t="shared" si="25"/>
        <v>143.199</v>
      </c>
      <c r="AK91" s="41">
        <f t="shared" si="20"/>
        <v>-4821.5520000000015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46</v>
      </c>
      <c r="C92" s="45">
        <f>C77</f>
        <v>310.2</v>
      </c>
      <c r="D92" s="45">
        <f aca="true" t="shared" si="26" ref="D92:AG92">D77</f>
        <v>0</v>
      </c>
      <c r="E92" s="45">
        <f t="shared" si="26"/>
        <v>0</v>
      </c>
      <c r="F92" s="45">
        <f t="shared" si="26"/>
        <v>0</v>
      </c>
      <c r="G92" s="45">
        <f t="shared" si="26"/>
        <v>0</v>
      </c>
      <c r="H92" s="45">
        <f t="shared" si="26"/>
        <v>0</v>
      </c>
      <c r="I92" s="45">
        <f t="shared" si="26"/>
        <v>0</v>
      </c>
      <c r="J92" s="45">
        <f t="shared" si="26"/>
        <v>0</v>
      </c>
      <c r="K92" s="45">
        <f t="shared" si="26"/>
        <v>0</v>
      </c>
      <c r="L92" s="45">
        <f t="shared" si="26"/>
        <v>0</v>
      </c>
      <c r="M92" s="45">
        <f t="shared" si="26"/>
        <v>0</v>
      </c>
      <c r="N92" s="45">
        <f t="shared" si="26"/>
        <v>0</v>
      </c>
      <c r="O92" s="45">
        <f t="shared" si="26"/>
        <v>0</v>
      </c>
      <c r="P92" s="45">
        <f t="shared" si="26"/>
        <v>0</v>
      </c>
      <c r="Q92" s="45">
        <f t="shared" si="26"/>
        <v>0</v>
      </c>
      <c r="R92" s="45">
        <f t="shared" si="26"/>
        <v>0</v>
      </c>
      <c r="S92" s="45">
        <f t="shared" si="26"/>
        <v>0</v>
      </c>
      <c r="T92" s="45">
        <f t="shared" si="26"/>
        <v>0</v>
      </c>
      <c r="U92" s="45">
        <f t="shared" si="26"/>
        <v>0</v>
      </c>
      <c r="V92" s="45">
        <f t="shared" si="26"/>
        <v>0</v>
      </c>
      <c r="W92" s="45">
        <f t="shared" si="26"/>
        <v>0</v>
      </c>
      <c r="X92" s="45">
        <f t="shared" si="26"/>
        <v>0</v>
      </c>
      <c r="Y92" s="45">
        <f t="shared" si="26"/>
        <v>0</v>
      </c>
      <c r="Z92" s="45">
        <f t="shared" si="26"/>
        <v>0</v>
      </c>
      <c r="AA92" s="45">
        <f t="shared" si="26"/>
        <v>0</v>
      </c>
      <c r="AB92" s="45">
        <f t="shared" si="26"/>
        <v>0</v>
      </c>
      <c r="AC92" s="45">
        <f t="shared" si="26"/>
        <v>0</v>
      </c>
      <c r="AD92" s="45">
        <f t="shared" si="26"/>
        <v>0</v>
      </c>
      <c r="AE92" s="45">
        <f t="shared" si="26"/>
        <v>0</v>
      </c>
      <c r="AF92" s="45">
        <f t="shared" si="26"/>
        <v>0</v>
      </c>
      <c r="AG92" s="45">
        <f t="shared" si="26"/>
        <v>0</v>
      </c>
      <c r="AH92" s="45">
        <f>AH77</f>
        <v>0</v>
      </c>
      <c r="AI92" s="45">
        <f>AI77</f>
        <v>0</v>
      </c>
      <c r="AJ92" s="45">
        <f>AJ77</f>
        <v>0</v>
      </c>
      <c r="AK92" s="41">
        <f t="shared" si="20"/>
        <v>-310.2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34</v>
      </c>
      <c r="C93" s="45">
        <f aca="true" t="shared" si="27" ref="C93:AJ93">C30+C51+C60+C68+C31+C71+C82+C83+C85+C63+C79+C65+C84</f>
        <v>5221.032</v>
      </c>
      <c r="D93" s="45">
        <f t="shared" si="27"/>
        <v>0</v>
      </c>
      <c r="E93" s="45">
        <f t="shared" si="27"/>
        <v>0</v>
      </c>
      <c r="F93" s="45">
        <f t="shared" si="27"/>
        <v>0</v>
      </c>
      <c r="G93" s="45">
        <f t="shared" si="27"/>
        <v>10.5</v>
      </c>
      <c r="H93" s="45">
        <f t="shared" si="27"/>
        <v>900.5999999999999</v>
      </c>
      <c r="I93" s="45">
        <f t="shared" si="27"/>
        <v>0</v>
      </c>
      <c r="J93" s="45">
        <f t="shared" si="27"/>
        <v>69.865</v>
      </c>
      <c r="K93" s="45">
        <f t="shared" si="27"/>
        <v>0</v>
      </c>
      <c r="L93" s="45">
        <f t="shared" si="27"/>
        <v>0</v>
      </c>
      <c r="M93" s="45">
        <f t="shared" si="27"/>
        <v>0</v>
      </c>
      <c r="N93" s="45">
        <f t="shared" si="27"/>
        <v>70.608</v>
      </c>
      <c r="O93" s="45">
        <f t="shared" si="27"/>
        <v>0</v>
      </c>
      <c r="P93" s="45">
        <f t="shared" si="27"/>
        <v>0</v>
      </c>
      <c r="Q93" s="45">
        <f t="shared" si="27"/>
        <v>50.377</v>
      </c>
      <c r="R93" s="45">
        <f t="shared" si="27"/>
        <v>0</v>
      </c>
      <c r="S93" s="45">
        <f t="shared" si="27"/>
        <v>0</v>
      </c>
      <c r="T93" s="45">
        <f t="shared" si="27"/>
        <v>0</v>
      </c>
      <c r="U93" s="45">
        <f t="shared" si="27"/>
        <v>935.299</v>
      </c>
      <c r="V93" s="45">
        <f t="shared" si="27"/>
        <v>0</v>
      </c>
      <c r="W93" s="45">
        <f t="shared" si="27"/>
        <v>0</v>
      </c>
      <c r="X93" s="45">
        <f t="shared" si="27"/>
        <v>213.98</v>
      </c>
      <c r="Y93" s="45">
        <f t="shared" si="27"/>
        <v>0</v>
      </c>
      <c r="Z93" s="45">
        <f t="shared" si="27"/>
        <v>0</v>
      </c>
      <c r="AA93" s="45">
        <f t="shared" si="27"/>
        <v>0</v>
      </c>
      <c r="AB93" s="45">
        <f t="shared" si="27"/>
        <v>0</v>
      </c>
      <c r="AC93" s="45">
        <f t="shared" si="27"/>
        <v>29.448999999999998</v>
      </c>
      <c r="AD93" s="45">
        <f t="shared" si="27"/>
        <v>0</v>
      </c>
      <c r="AE93" s="45">
        <f t="shared" si="27"/>
        <v>0</v>
      </c>
      <c r="AF93" s="45">
        <f t="shared" si="27"/>
        <v>0</v>
      </c>
      <c r="AG93" s="45">
        <f t="shared" si="27"/>
        <v>0</v>
      </c>
      <c r="AH93" s="45">
        <f t="shared" si="27"/>
        <v>0</v>
      </c>
      <c r="AI93" s="45">
        <f t="shared" si="27"/>
        <v>0</v>
      </c>
      <c r="AJ93" s="45">
        <f t="shared" si="27"/>
        <v>2280.678</v>
      </c>
      <c r="AK93" s="41">
        <f t="shared" si="20"/>
        <v>-2940.3540000000003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44" t="s">
        <v>24</v>
      </c>
      <c r="C94" s="45">
        <f>C22+C28+C32+C33+C34+C40+C44+C48+C55+C61+C75+C80+C81+C86+C67+C78+C76+C35+C72+C73</f>
        <v>10705.394000000002</v>
      </c>
      <c r="D94" s="45">
        <f aca="true" t="shared" si="28" ref="D94:AJ94">D22+D28+D32+D33+D34+D40+D44+D48+D55+D61+D75+D80+D81+D86+D67+D78+D76+D35+D72+D73</f>
        <v>0</v>
      </c>
      <c r="E94" s="45">
        <f t="shared" si="28"/>
        <v>0</v>
      </c>
      <c r="F94" s="45">
        <f t="shared" si="28"/>
        <v>0</v>
      </c>
      <c r="G94" s="45">
        <f t="shared" si="28"/>
        <v>21.1</v>
      </c>
      <c r="H94" s="45">
        <f t="shared" si="28"/>
        <v>479.7</v>
      </c>
      <c r="I94" s="45">
        <f t="shared" si="28"/>
        <v>0</v>
      </c>
      <c r="J94" s="45">
        <f t="shared" si="28"/>
        <v>326.124</v>
      </c>
      <c r="K94" s="45">
        <f t="shared" si="28"/>
        <v>0</v>
      </c>
      <c r="L94" s="45">
        <f t="shared" si="28"/>
        <v>0</v>
      </c>
      <c r="M94" s="45">
        <f t="shared" si="28"/>
        <v>0</v>
      </c>
      <c r="N94" s="45">
        <f t="shared" si="28"/>
        <v>109.97899999999998</v>
      </c>
      <c r="O94" s="45">
        <f t="shared" si="28"/>
        <v>2647.8250000000003</v>
      </c>
      <c r="P94" s="45">
        <f t="shared" si="28"/>
        <v>0</v>
      </c>
      <c r="Q94" s="45">
        <f t="shared" si="28"/>
        <v>1174.423</v>
      </c>
      <c r="R94" s="45">
        <f t="shared" si="28"/>
        <v>0</v>
      </c>
      <c r="S94" s="45">
        <f t="shared" si="28"/>
        <v>0</v>
      </c>
      <c r="T94" s="45">
        <f t="shared" si="28"/>
        <v>0</v>
      </c>
      <c r="U94" s="45">
        <f t="shared" si="28"/>
        <v>15.354</v>
      </c>
      <c r="V94" s="45">
        <f t="shared" si="28"/>
        <v>1172.221</v>
      </c>
      <c r="W94" s="45">
        <f t="shared" si="28"/>
        <v>0</v>
      </c>
      <c r="X94" s="45">
        <f t="shared" si="28"/>
        <v>332.262</v>
      </c>
      <c r="Y94" s="45">
        <f t="shared" si="28"/>
        <v>0</v>
      </c>
      <c r="Z94" s="45">
        <f t="shared" si="28"/>
        <v>0</v>
      </c>
      <c r="AA94" s="45">
        <f t="shared" si="28"/>
        <v>0</v>
      </c>
      <c r="AB94" s="45">
        <f t="shared" si="28"/>
        <v>140.982</v>
      </c>
      <c r="AC94" s="45">
        <f t="shared" si="28"/>
        <v>90.303</v>
      </c>
      <c r="AD94" s="45">
        <f t="shared" si="28"/>
        <v>0</v>
      </c>
      <c r="AE94" s="45">
        <f t="shared" si="28"/>
        <v>0</v>
      </c>
      <c r="AF94" s="45">
        <f t="shared" si="28"/>
        <v>0</v>
      </c>
      <c r="AG94" s="45">
        <f t="shared" si="28"/>
        <v>0</v>
      </c>
      <c r="AH94" s="45">
        <f t="shared" si="28"/>
        <v>0</v>
      </c>
      <c r="AI94" s="45">
        <f t="shared" si="28"/>
        <v>0</v>
      </c>
      <c r="AJ94" s="45">
        <f t="shared" si="28"/>
        <v>6510.273</v>
      </c>
      <c r="AK94" s="41">
        <f t="shared" si="20"/>
        <v>-4195.121000000002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0"/>
      <c r="D95" s="60"/>
      <c r="E95" s="61"/>
      <c r="F95" s="61"/>
      <c r="G95" s="61"/>
      <c r="H95" s="61"/>
      <c r="I95" s="61"/>
      <c r="J95" s="61"/>
      <c r="K95" s="61"/>
      <c r="L95" s="6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 t="s">
        <v>71</v>
      </c>
      <c r="C96" s="62">
        <f>C18-C87</f>
        <v>0</v>
      </c>
      <c r="D96" s="62">
        <f>D18-D87</f>
        <v>0</v>
      </c>
      <c r="E96" s="62">
        <f>E18-E87</f>
        <v>0</v>
      </c>
      <c r="F96" s="62">
        <f aca="true" t="shared" si="29" ref="F96:AJ96">F18-F87</f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>
        <f t="shared" si="29"/>
        <v>0</v>
      </c>
      <c r="L96" s="62">
        <f t="shared" si="29"/>
        <v>0</v>
      </c>
      <c r="M96" s="62">
        <f t="shared" si="29"/>
        <v>0</v>
      </c>
      <c r="N96" s="62">
        <f t="shared" si="29"/>
        <v>0</v>
      </c>
      <c r="O96" s="62">
        <f t="shared" si="29"/>
        <v>0</v>
      </c>
      <c r="P96" s="62">
        <f t="shared" si="29"/>
        <v>0</v>
      </c>
      <c r="Q96" s="62">
        <f t="shared" si="29"/>
        <v>0</v>
      </c>
      <c r="R96" s="62">
        <f t="shared" si="29"/>
        <v>0</v>
      </c>
      <c r="S96" s="62">
        <f t="shared" si="29"/>
        <v>0</v>
      </c>
      <c r="T96" s="62">
        <f t="shared" si="29"/>
        <v>0</v>
      </c>
      <c r="U96" s="62">
        <f t="shared" si="29"/>
        <v>0</v>
      </c>
      <c r="V96" s="62">
        <f t="shared" si="29"/>
        <v>0</v>
      </c>
      <c r="W96" s="62">
        <f t="shared" si="29"/>
        <v>0</v>
      </c>
      <c r="X96" s="62">
        <f t="shared" si="29"/>
        <v>0</v>
      </c>
      <c r="Y96" s="62">
        <f t="shared" si="29"/>
        <v>0</v>
      </c>
      <c r="Z96" s="62">
        <f t="shared" si="29"/>
        <v>0</v>
      </c>
      <c r="AA96" s="62">
        <f t="shared" si="29"/>
        <v>0</v>
      </c>
      <c r="AB96" s="62">
        <f t="shared" si="29"/>
        <v>0</v>
      </c>
      <c r="AC96" s="62">
        <f t="shared" si="29"/>
        <v>0</v>
      </c>
      <c r="AD96" s="62">
        <f t="shared" si="29"/>
        <v>0</v>
      </c>
      <c r="AE96" s="62">
        <f t="shared" si="29"/>
        <v>0</v>
      </c>
      <c r="AF96" s="62">
        <f t="shared" si="29"/>
        <v>0</v>
      </c>
      <c r="AG96" s="62">
        <f t="shared" si="29"/>
        <v>0</v>
      </c>
      <c r="AH96" s="62">
        <f t="shared" si="29"/>
        <v>0</v>
      </c>
      <c r="AI96" s="62">
        <f t="shared" si="29"/>
        <v>0</v>
      </c>
      <c r="AJ96" s="62">
        <f t="shared" si="29"/>
        <v>0</v>
      </c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63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63"/>
      <c r="D98" s="63"/>
      <c r="E98" s="5"/>
      <c r="F98" s="5"/>
      <c r="G98" s="5"/>
      <c r="H98" s="5"/>
      <c r="I98" s="5"/>
      <c r="J98" s="5"/>
      <c r="K98" s="5"/>
      <c r="L98" s="5"/>
      <c r="M98" s="63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100" spans="1:49" s="8" customFormat="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3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64"/>
      <c r="AP100" s="9"/>
      <c r="AQ100" s="9"/>
      <c r="AR100" s="9"/>
      <c r="AS100" s="9"/>
      <c r="AT100" s="9"/>
      <c r="AU100" s="9"/>
      <c r="AV100" s="9"/>
      <c r="AW100" s="9"/>
    </row>
    <row r="179" ht="15.75">
      <c r="B179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6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2020-05-26T08:52:33Z</cp:lastPrinted>
  <dcterms:created xsi:type="dcterms:W3CDTF">2019-11-27T07:51:11Z</dcterms:created>
  <dcterms:modified xsi:type="dcterms:W3CDTF">2020-09-01T10:43:50Z</dcterms:modified>
  <cp:category/>
  <cp:version/>
  <cp:contentType/>
  <cp:contentStatus/>
</cp:coreProperties>
</file>