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570" windowHeight="6375" tabRatio="638" firstSheet="1" activeTab="4"/>
  </bookViews>
  <sheets>
    <sheet name="Лист1 (2)" sheetId="1" state="hidden" r:id="rId1"/>
    <sheet name="січень 2021" sheetId="2" r:id="rId2"/>
    <sheet name="лютий 2021" sheetId="3" r:id="rId3"/>
    <sheet name="Лист3" sheetId="4" state="hidden" r:id="rId4"/>
    <sheet name="березень 2021" sheetId="5" r:id="rId5"/>
    <sheet name="Лист1" sheetId="6" r:id="rId6"/>
  </sheets>
  <externalReferences>
    <externalReference r:id="rId9"/>
  </externalReferences>
  <definedNames>
    <definedName name="_xlnm.Print_Area" localSheetId="4">'березень 2021'!$B$1:$AW$183</definedName>
    <definedName name="_xlnm.Print_Area" localSheetId="2">'лютий 2021'!$B$1:$AW$182</definedName>
  </definedNames>
  <calcPr fullCalcOnLoad="1"/>
</workbook>
</file>

<file path=xl/sharedStrings.xml><?xml version="1.0" encoding="utf-8"?>
<sst xmlns="http://schemas.openxmlformats.org/spreadsheetml/2006/main" count="334" uniqueCount="76">
  <si>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</si>
  <si>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</si>
  <si>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</si>
  <si>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</si>
  <si>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</si>
  <si>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</si>
  <si>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</si>
  <si>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</si>
  <si>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</si>
  <si>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</si>
  <si>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</si>
  <si>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</si>
  <si>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</si>
  <si>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</si>
  <si>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</si>
  <si>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</si>
  <si>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</si>
  <si>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</si>
  <si>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</si>
  <si>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</si>
  <si>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</si>
  <si>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</si>
  <si>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</si>
  <si>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</si>
  <si>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</si>
  <si>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</si>
  <si>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</si>
  <si>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</si>
  <si>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</si>
  <si>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</si>
  <si>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</si>
  <si>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</si>
  <si>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</si>
  <si>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</si>
  <si>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</si>
  <si>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</si>
  <si>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</si>
  <si>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</si>
  <si>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</si>
  <si>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</si>
  <si>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</si>
  <si>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</si>
  <si>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</si>
  <si>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</si>
  <si>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</si>
  <si>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</si>
  <si>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</si>
  <si>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</si>
  <si>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</si>
  <si>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</si>
  <si>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</si>
  <si>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</si>
  <si>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</si>
  <si>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</si>
  <si>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</si>
  <si>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</si>
  <si>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</si>
  <si>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</si>
  <si>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</si>
  <si>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</si>
  <si>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</si>
  <si>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</si>
  <si>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</si>
  <si>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</si>
  <si>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</si>
  <si>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</si>
  <si>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</si>
  <si>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</si>
  <si>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</si>
  <si>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</si>
  <si>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Забезпечення функціонування підприємств, що надають житлово-комунальні послуги (6020)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</si>
  <si>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лютому 2021 року</t>
    </r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</si>
  <si>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2021 року</t>
    </r>
  </si>
  <si>
    <t>Первинна медична допомога населенню (2111)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</si>
  <si>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березні 2021 року</t>
    </r>
  </si>
  <si>
    <t xml:space="preserve">Субвенція з місцевого бюджету державному бюджету на виконання програм соціально-економічного розвитку регіонів (9800)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</si>
</sst>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47" fillId="25" borderId="0" applyNumberFormat="0" applyBorder="0" applyAlignment="0" applyProtection="0"/>
    <xf numFmtId="0" fontId="14" fillId="16" borderId="0" applyNumberFormat="0" applyBorder="0" applyAlignment="0" applyProtection="0"/>
    <xf numFmtId="0" fontId="47" fillId="26" borderId="0" applyNumberFormat="0" applyBorder="0" applyAlignment="0" applyProtection="0"/>
    <xf numFmtId="0" fontId="14" fillId="18" borderId="0" applyNumberFormat="0" applyBorder="0" applyAlignment="0" applyProtection="0"/>
    <xf numFmtId="0" fontId="47" fillId="27" borderId="0" applyNumberFormat="0" applyBorder="0" applyAlignment="0" applyProtection="0"/>
    <xf numFmtId="0" fontId="14" fillId="28" borderId="0" applyNumberFormat="0" applyBorder="0" applyAlignment="0" applyProtection="0"/>
    <xf numFmtId="0" fontId="47" fillId="29" borderId="0" applyNumberFormat="0" applyBorder="0" applyAlignment="0" applyProtection="0"/>
    <xf numFmtId="0" fontId="14" fillId="30" borderId="0" applyNumberFormat="0" applyBorder="0" applyAlignment="0" applyProtection="0"/>
    <xf numFmtId="0" fontId="47" fillId="31" borderId="0" applyNumberFormat="0" applyBorder="0" applyAlignment="0" applyProtection="0"/>
    <xf numFmtId="0" fontId="14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8" fillId="40" borderId="1" applyNumberFormat="0" applyAlignment="0" applyProtection="0"/>
    <xf numFmtId="0" fontId="49" fillId="41" borderId="2" applyNumberFormat="0" applyAlignment="0" applyProtection="0"/>
    <xf numFmtId="0" fontId="50" fillId="41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42" borderId="7" applyNumberFormat="0" applyAlignment="0" applyProtection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2" fillId="46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3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63" fillId="0" borderId="0" xfId="0" applyFont="1" applyAlignment="1">
      <alignment/>
    </xf>
    <xf numFmtId="180" fontId="63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3" fillId="47" borderId="10" xfId="71" applyFont="1" applyFill="1" applyBorder="1" applyAlignment="1">
      <alignment horizontal="left" vertical="top" wrapText="1" indent="1"/>
      <protection/>
    </xf>
    <xf numFmtId="0" fontId="64" fillId="0" borderId="0" xfId="0" applyFont="1" applyAlignment="1">
      <alignment/>
    </xf>
    <xf numFmtId="180" fontId="64" fillId="0" borderId="0" xfId="0" applyNumberFormat="1" applyFont="1" applyAlignment="1">
      <alignment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3" fillId="4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2" fillId="48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0" fontId="66" fillId="0" borderId="0" xfId="0" applyNumberFormat="1" applyFont="1" applyAlignment="1">
      <alignment/>
    </xf>
    <xf numFmtId="18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5"/>
          <c:y val="0.2555"/>
          <c:w val="0.378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2021'!$B$91:$B$97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'[1]січень 2021'!$AJ$91:$AJ$97</c:f>
              <c:numCache>
                <c:ptCount val="7"/>
                <c:pt idx="0">
                  <c:v>14910.938000000002</c:v>
                </c:pt>
                <c:pt idx="1">
                  <c:v>1.755</c:v>
                </c:pt>
                <c:pt idx="2">
                  <c:v>92.051</c:v>
                </c:pt>
                <c:pt idx="3">
                  <c:v>272.88800000000003</c:v>
                </c:pt>
                <c:pt idx="4">
                  <c:v>0</c:v>
                </c:pt>
                <c:pt idx="5">
                  <c:v>1310.027</c:v>
                </c:pt>
                <c:pt idx="6">
                  <c:v>1031.196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275"/>
          <c:w val="0.931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2"/>
          <c:y val="0.32625"/>
          <c:w val="0.366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2021'!$AM$20:$AM$27</c:f>
              <c:strCache/>
            </c:strRef>
          </c:cat>
          <c:val>
            <c:numRef>
              <c:f>'березень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7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75"/>
          <c:y val="0.20375"/>
          <c:w val="0.7197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2021'!$D$7:$AH$7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2021'!$D$8:$AH$8</c:f>
              <c:numCache/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45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0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33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2021'!$B$9:$B$16</c:f>
              <c:strCache/>
            </c:strRef>
          </c:cat>
          <c:val>
            <c:numRef>
              <c:f>'березень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131"/>
          <c:w val="0.298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2021'!$AM$20:$AM$27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'[1]січень 2021'!$AN$20:$AN$27</c:f>
              <c:numCache>
                <c:ptCount val="8"/>
                <c:pt idx="0">
                  <c:v>3628.5179999999996</c:v>
                </c:pt>
                <c:pt idx="1">
                  <c:v>8592.592999999999</c:v>
                </c:pt>
                <c:pt idx="2">
                  <c:v>11.731</c:v>
                </c:pt>
                <c:pt idx="3">
                  <c:v>1189.395</c:v>
                </c:pt>
                <c:pt idx="4">
                  <c:v>1048.128</c:v>
                </c:pt>
                <c:pt idx="5">
                  <c:v>1509.562</c:v>
                </c:pt>
                <c:pt idx="6">
                  <c:v>472.781</c:v>
                </c:pt>
                <c:pt idx="7">
                  <c:v>1166.147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6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20375"/>
          <c:w val="0.7387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'[1]січень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'[1]січень 2021'!$D$7:$AH$7</c:f>
              <c:numCache>
                <c:ptCount val="31"/>
                <c:pt idx="4">
                  <c:v>2979.85</c:v>
                </c:pt>
                <c:pt idx="10">
                  <c:v>2979.85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'[1]січень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'[1]січень 2021'!$D$8:$AH$8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138.399</c:v>
                </c:pt>
                <c:pt idx="4">
                  <c:v>599.4820000000001</c:v>
                </c:pt>
                <c:pt idx="5">
                  <c:v>1267.335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509.875</c:v>
                </c:pt>
                <c:pt idx="11">
                  <c:v>527.878</c:v>
                </c:pt>
                <c:pt idx="12">
                  <c:v>270.09099999999995</c:v>
                </c:pt>
                <c:pt idx="13">
                  <c:v>526.54</c:v>
                </c:pt>
                <c:pt idx="14">
                  <c:v>668.912</c:v>
                </c:pt>
                <c:pt idx="15">
                  <c:v>1790.491</c:v>
                </c:pt>
                <c:pt idx="16">
                  <c:v>0</c:v>
                </c:pt>
                <c:pt idx="17">
                  <c:v>1116.252</c:v>
                </c:pt>
                <c:pt idx="18">
                  <c:v>1105.5279999999998</c:v>
                </c:pt>
                <c:pt idx="19">
                  <c:v>914.704</c:v>
                </c:pt>
                <c:pt idx="20">
                  <c:v>950.6220000000001</c:v>
                </c:pt>
                <c:pt idx="21">
                  <c:v>2128.7039999999997</c:v>
                </c:pt>
                <c:pt idx="22">
                  <c:v>0</c:v>
                </c:pt>
                <c:pt idx="23">
                  <c:v>0</c:v>
                </c:pt>
                <c:pt idx="24">
                  <c:v>1096.5149999999999</c:v>
                </c:pt>
                <c:pt idx="25">
                  <c:v>2351.4179999999997</c:v>
                </c:pt>
                <c:pt idx="26">
                  <c:v>1497.252</c:v>
                </c:pt>
                <c:pt idx="27">
                  <c:v>3205.523</c:v>
                </c:pt>
                <c:pt idx="28">
                  <c:v>2081.79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0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1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26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'[1]січень 2021'!$B$9:$B$16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'[1]січень 2021'!$C$9:$C$16</c:f>
              <c:numCache>
                <c:ptCount val="8"/>
                <c:pt idx="0">
                  <c:v>10528.893</c:v>
                </c:pt>
                <c:pt idx="1">
                  <c:v>3.07</c:v>
                </c:pt>
                <c:pt idx="2">
                  <c:v>624.515</c:v>
                </c:pt>
                <c:pt idx="3">
                  <c:v>2424.368</c:v>
                </c:pt>
                <c:pt idx="4">
                  <c:v>3628.433</c:v>
                </c:pt>
                <c:pt idx="5">
                  <c:v>4985.28</c:v>
                </c:pt>
                <c:pt idx="6">
                  <c:v>135.22299999999998</c:v>
                </c:pt>
                <c:pt idx="7">
                  <c:v>417.529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131"/>
          <c:w val="0.298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2021'!$B$91:$B$97</c:f>
              <c:strCache/>
            </c:strRef>
          </c:cat>
          <c:val>
            <c:numRef>
              <c:f>'лютий 2021'!$AJ$91:$AJ$97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275"/>
          <c:w val="0.931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44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2021'!$AM$20:$AM$27</c:f>
              <c:strCache/>
            </c:strRef>
          </c:cat>
          <c:val>
            <c:numRef>
              <c:f>'лютий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075"/>
          <c:w val="0.979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95"/>
          <c:w val="0.720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2021'!$D$7:$AH$7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2021'!$D$8:$AH$8</c:f>
              <c:numCache/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8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0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2021'!$B$9:$B$16</c:f>
              <c:strCache/>
            </c:strRef>
          </c:cat>
          <c:val>
            <c:numRef>
              <c:f>'лютий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131"/>
          <c:w val="0.2992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2021'!$B$92:$B$98</c:f>
              <c:strCache/>
            </c:strRef>
          </c:cat>
          <c:val>
            <c:numRef>
              <c:f>'березень 2021'!$AJ$92:$AJ$98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275"/>
          <c:w val="0.931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100</xdr:row>
      <xdr:rowOff>9525</xdr:rowOff>
    </xdr:from>
    <xdr:to>
      <xdr:col>26</xdr:col>
      <xdr:colOff>257175</xdr:colOff>
      <xdr:row>132</xdr:row>
      <xdr:rowOff>161925</xdr:rowOff>
    </xdr:to>
    <xdr:graphicFrame>
      <xdr:nvGraphicFramePr>
        <xdr:cNvPr id="1" name="Диаграмма 1"/>
        <xdr:cNvGraphicFramePr/>
      </xdr:nvGraphicFramePr>
      <xdr:xfrm>
        <a:off x="981075" y="22421850"/>
        <a:ext cx="12668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3906500" y="22412325"/>
        <a:ext cx="94202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26873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4192250" y="28936950"/>
        <a:ext cx="91916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99</xdr:row>
      <xdr:rowOff>47625</xdr:rowOff>
    </xdr:from>
    <xdr:to>
      <xdr:col>26</xdr:col>
      <xdr:colOff>228600</xdr:colOff>
      <xdr:row>132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259925"/>
        <a:ext cx="13468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4973300" y="22412325"/>
        <a:ext cx="87153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34874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5259050" y="28936950"/>
        <a:ext cx="8486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100</xdr:row>
      <xdr:rowOff>47625</xdr:rowOff>
    </xdr:from>
    <xdr:to>
      <xdr:col>26</xdr:col>
      <xdr:colOff>228600</xdr:colOff>
      <xdr:row>133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993350"/>
        <a:ext cx="13468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101</xdr:row>
      <xdr:rowOff>0</xdr:rowOff>
    </xdr:from>
    <xdr:to>
      <xdr:col>42</xdr:col>
      <xdr:colOff>552450</xdr:colOff>
      <xdr:row>133</xdr:row>
      <xdr:rowOff>180975</xdr:rowOff>
    </xdr:to>
    <xdr:graphicFrame>
      <xdr:nvGraphicFramePr>
        <xdr:cNvPr id="2" name="Диаграмма 4"/>
        <xdr:cNvGraphicFramePr/>
      </xdr:nvGraphicFramePr>
      <xdr:xfrm>
        <a:off x="14973300" y="23145750"/>
        <a:ext cx="9601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135</xdr:row>
      <xdr:rowOff>57150</xdr:rowOff>
    </xdr:from>
    <xdr:to>
      <xdr:col>26</xdr:col>
      <xdr:colOff>266700</xdr:colOff>
      <xdr:row>168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9708475"/>
        <a:ext cx="134874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135</xdr:row>
      <xdr:rowOff>19050</xdr:rowOff>
    </xdr:from>
    <xdr:to>
      <xdr:col>42</xdr:col>
      <xdr:colOff>609600</xdr:colOff>
      <xdr:row>168</xdr:row>
      <xdr:rowOff>123825</xdr:rowOff>
    </xdr:to>
    <xdr:graphicFrame>
      <xdr:nvGraphicFramePr>
        <xdr:cNvPr id="4" name="Диаграмма 1"/>
        <xdr:cNvGraphicFramePr/>
      </xdr:nvGraphicFramePr>
      <xdr:xfrm>
        <a:off x="15259050" y="29670375"/>
        <a:ext cx="93726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84;&#1086;&#1080;%20&#1076;&#1086;&#1082;.&#1085;&#1072;%20&#1076;\&#1065;&#1086;&#1076;&#1077;&#1085;&#1085;&#1086;%20&#1085;&#1072;%20&#1089;&#1072;&#1081;&#1090;\&#1075;&#1088;&#1072;&#1092;&#1110;&#1082;&#1080;%202021%20&#1088;&#1086;&#1082;&#1091;\&#1057;&#1110;&#1095;&#1077;&#1085;&#1100;\&#1043;&#1088;.%20&#1092;&#1110;&#1085;.%20&#1079;&#1072;%2029.0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січень 2021"/>
      <sheetName val="Лист1"/>
      <sheetName val="Лист3"/>
    </sheetNames>
    <sheetDataSet>
      <sheetData sheetId="1">
        <row r="7">
          <cell r="B7" t="str">
            <v>Трансферти (Освітня субвенція)</v>
          </cell>
          <cell r="H7">
            <v>2979.85</v>
          </cell>
          <cell r="N7">
            <v>2979.85</v>
          </cell>
        </row>
        <row r="8">
          <cell r="B8" t="str">
            <v>Доходи загального фонду, т.ч.</v>
          </cell>
          <cell r="D8">
            <v>0</v>
          </cell>
          <cell r="E8">
            <v>0</v>
          </cell>
          <cell r="F8">
            <v>0</v>
          </cell>
          <cell r="G8">
            <v>138.399</v>
          </cell>
          <cell r="H8">
            <v>599.4820000000001</v>
          </cell>
          <cell r="I8">
            <v>1267.335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509.875</v>
          </cell>
          <cell r="O8">
            <v>527.878</v>
          </cell>
          <cell r="P8">
            <v>270.09099999999995</v>
          </cell>
          <cell r="Q8">
            <v>526.54</v>
          </cell>
          <cell r="R8">
            <v>668.912</v>
          </cell>
          <cell r="S8">
            <v>1790.491</v>
          </cell>
          <cell r="T8">
            <v>0</v>
          </cell>
          <cell r="U8">
            <v>1116.252</v>
          </cell>
          <cell r="V8">
            <v>1105.5279999999998</v>
          </cell>
          <cell r="W8">
            <v>914.704</v>
          </cell>
          <cell r="X8">
            <v>950.6220000000001</v>
          </cell>
          <cell r="Y8">
            <v>2128.7039999999997</v>
          </cell>
          <cell r="Z8">
            <v>0</v>
          </cell>
          <cell r="AA8">
            <v>0</v>
          </cell>
          <cell r="AB8">
            <v>1096.5149999999999</v>
          </cell>
          <cell r="AC8">
            <v>2351.4179999999997</v>
          </cell>
          <cell r="AD8">
            <v>1497.252</v>
          </cell>
          <cell r="AE8">
            <v>3205.523</v>
          </cell>
          <cell r="AF8">
            <v>2081.79</v>
          </cell>
          <cell r="AG8">
            <v>0</v>
          </cell>
          <cell r="AH8">
            <v>0</v>
          </cell>
        </row>
        <row r="9">
          <cell r="B9" t="str">
            <v>Податок на доходи фізичних осіб</v>
          </cell>
          <cell r="C9">
            <v>10528.893</v>
          </cell>
        </row>
        <row r="10">
          <cell r="B10" t="str">
            <v>Податок на прибуток підпрємств комунальної власності</v>
          </cell>
          <cell r="C10">
            <v>3.07</v>
          </cell>
        </row>
        <row r="11">
          <cell r="B11" t="str">
            <v>Акцизний податок</v>
          </cell>
          <cell r="C11">
            <v>624.515</v>
          </cell>
        </row>
        <row r="12">
          <cell r="B12" t="str">
            <v>Податок на нерухоме майно</v>
          </cell>
          <cell r="C12">
            <v>2424.368</v>
          </cell>
        </row>
        <row r="13">
          <cell r="B13" t="str">
            <v>Земельний податок</v>
          </cell>
          <cell r="C13">
            <v>3628.433</v>
          </cell>
        </row>
        <row r="14">
          <cell r="B14" t="str">
            <v>Єдиний податок </v>
          </cell>
          <cell r="C14">
            <v>4985.28</v>
          </cell>
        </row>
        <row r="15">
          <cell r="B15" t="str">
            <v>Плата за надання інших адмінпослуг</v>
          </cell>
          <cell r="C15">
            <v>135.22299999999998</v>
          </cell>
        </row>
        <row r="16">
          <cell r="B16" t="str">
            <v>Інші надходження, податки та збори</v>
          </cell>
          <cell r="C16">
            <v>417.529</v>
          </cell>
        </row>
        <row r="20">
          <cell r="AM20" t="str">
            <v>ОМС, інші видатки</v>
          </cell>
          <cell r="AN20">
            <v>3628.5179999999996</v>
          </cell>
        </row>
        <row r="21">
          <cell r="AM21" t="str">
            <v>Освіта</v>
          </cell>
          <cell r="AN21">
            <v>8592.592999999999</v>
          </cell>
        </row>
        <row r="22">
          <cell r="AM22" t="str">
            <v>Охорона здоров'я</v>
          </cell>
          <cell r="AN22">
            <v>11.731</v>
          </cell>
        </row>
        <row r="23">
          <cell r="AM23" t="str">
            <v>Соцзахист</v>
          </cell>
          <cell r="AN23">
            <v>1189.395</v>
          </cell>
        </row>
        <row r="24">
          <cell r="AM24" t="str">
            <v>ЖКГ</v>
          </cell>
          <cell r="AN24">
            <v>1048.128</v>
          </cell>
        </row>
        <row r="25">
          <cell r="AM25" t="str">
            <v>Культура</v>
          </cell>
          <cell r="AN25">
            <v>1509.562</v>
          </cell>
        </row>
        <row r="26">
          <cell r="AM26" t="str">
            <v>Спорт</v>
          </cell>
          <cell r="AN26">
            <v>472.781</v>
          </cell>
        </row>
        <row r="27">
          <cell r="AM27" t="str">
            <v>Інші видатки</v>
          </cell>
          <cell r="AN27">
            <v>1166.147</v>
          </cell>
        </row>
        <row r="91">
          <cell r="B91" t="str">
            <v>заробітна плата</v>
          </cell>
          <cell r="AJ91">
            <v>14910.938000000002</v>
          </cell>
        </row>
        <row r="92">
          <cell r="B92" t="str">
            <v>медикаменти</v>
          </cell>
          <cell r="AJ92">
            <v>1.755</v>
          </cell>
        </row>
        <row r="93">
          <cell r="B93" t="str">
            <v>харчування</v>
          </cell>
          <cell r="AJ93">
            <v>92.051</v>
          </cell>
        </row>
        <row r="94">
          <cell r="B94" t="str">
            <v>енергоносії</v>
          </cell>
          <cell r="AJ94">
            <v>272.88800000000003</v>
          </cell>
        </row>
        <row r="95">
          <cell r="B95" t="str">
            <v>заходи</v>
          </cell>
          <cell r="AJ95">
            <v>0</v>
          </cell>
        </row>
        <row r="96">
          <cell r="B96" t="str">
            <v>поточні трансферти</v>
          </cell>
          <cell r="AJ96">
            <v>1310.027</v>
          </cell>
        </row>
        <row r="97">
          <cell r="B97" t="str">
            <v>інші поточні видатки</v>
          </cell>
          <cell r="AJ97">
            <v>1031.196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W182"/>
  <sheetViews>
    <sheetView zoomScalePageLayoutView="0" workbookViewId="0" topLeftCell="B1">
      <selection activeCell="B15" sqref="B1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3.7109375" style="5" customWidth="1"/>
    <col min="5" max="5" width="4.140625" style="5" customWidth="1"/>
    <col min="6" max="6" width="3.7109375" style="5" customWidth="1"/>
    <col min="7" max="7" width="7.00390625" style="5" customWidth="1"/>
    <col min="8" max="8" width="8.00390625" style="5" customWidth="1"/>
    <col min="9" max="9" width="7.140625" style="5" customWidth="1"/>
    <col min="10" max="11" width="4.140625" style="5" customWidth="1"/>
    <col min="12" max="12" width="4.28125" style="5" customWidth="1"/>
    <col min="13" max="13" width="4.140625" style="57" customWidth="1"/>
    <col min="14" max="14" width="7.7109375" style="5" customWidth="1"/>
    <col min="15" max="15" width="7.421875" style="5" customWidth="1"/>
    <col min="16" max="16" width="6.57421875" style="5" customWidth="1"/>
    <col min="17" max="17" width="7.421875" style="5" customWidth="1"/>
    <col min="18" max="18" width="8.8515625" style="5" customWidth="1"/>
    <col min="19" max="19" width="7.7109375" style="5" customWidth="1"/>
    <col min="20" max="20" width="4.140625" style="5" customWidth="1"/>
    <col min="21" max="21" width="8.28125" style="5" customWidth="1"/>
    <col min="22" max="22" width="8.421875" style="5" customWidth="1"/>
    <col min="23" max="23" width="9.7109375" style="5" customWidth="1"/>
    <col min="24" max="24" width="8.421875" style="5" customWidth="1"/>
    <col min="25" max="25" width="8.57421875" style="5" customWidth="1"/>
    <col min="26" max="26" width="3.7109375" style="5" customWidth="1"/>
    <col min="27" max="27" width="4.140625" style="5" customWidth="1"/>
    <col min="28" max="28" width="7.421875" style="5" customWidth="1"/>
    <col min="29" max="29" width="8.00390625" style="5" customWidth="1"/>
    <col min="30" max="30" width="7.57421875" style="5" customWidth="1"/>
    <col min="31" max="31" width="7.421875" style="5" customWidth="1"/>
    <col min="32" max="32" width="7.5742187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0" t="s">
        <v>72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5959.7</v>
      </c>
      <c r="D7" s="79"/>
      <c r="E7" s="19"/>
      <c r="F7" s="16"/>
      <c r="G7" s="16"/>
      <c r="H7" s="16">
        <v>2979.85</v>
      </c>
      <c r="I7" s="16"/>
      <c r="J7" s="16"/>
      <c r="K7" s="16"/>
      <c r="L7" s="16"/>
      <c r="M7" s="44"/>
      <c r="N7" s="20">
        <v>2979.85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22747.311</v>
      </c>
      <c r="D8" s="22">
        <f aca="true" t="shared" si="0" ref="D8:AH8">SUM(D9:D16)</f>
        <v>0</v>
      </c>
      <c r="E8" s="22">
        <f t="shared" si="0"/>
        <v>0</v>
      </c>
      <c r="F8" s="22">
        <f t="shared" si="0"/>
        <v>0</v>
      </c>
      <c r="G8" s="22">
        <f t="shared" si="0"/>
        <v>138.399</v>
      </c>
      <c r="H8" s="22">
        <f t="shared" si="0"/>
        <v>599.4820000000001</v>
      </c>
      <c r="I8" s="22">
        <f t="shared" si="0"/>
        <v>1267.335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>SUM(M9:M16)</f>
        <v>0</v>
      </c>
      <c r="N8" s="22">
        <f t="shared" si="0"/>
        <v>509.875</v>
      </c>
      <c r="O8" s="22">
        <f>SUM(O9:O16)</f>
        <v>527.878</v>
      </c>
      <c r="P8" s="22">
        <f t="shared" si="0"/>
        <v>270.09099999999995</v>
      </c>
      <c r="Q8" s="22">
        <f t="shared" si="0"/>
        <v>526.54</v>
      </c>
      <c r="R8" s="22">
        <f t="shared" si="0"/>
        <v>668.912</v>
      </c>
      <c r="S8" s="22">
        <f t="shared" si="0"/>
        <v>1790.491</v>
      </c>
      <c r="T8" s="22">
        <f t="shared" si="0"/>
        <v>0</v>
      </c>
      <c r="U8" s="22">
        <f>SUM(U9:U16)</f>
        <v>1116.252</v>
      </c>
      <c r="V8" s="22">
        <f>SUM(V9:V16)</f>
        <v>1105.5279999999998</v>
      </c>
      <c r="W8" s="22">
        <f>SUM(W9:W16)</f>
        <v>914.704</v>
      </c>
      <c r="X8" s="22">
        <f t="shared" si="0"/>
        <v>950.6220000000001</v>
      </c>
      <c r="Y8" s="22">
        <f t="shared" si="0"/>
        <v>2128.7039999999997</v>
      </c>
      <c r="Z8" s="22">
        <f t="shared" si="0"/>
        <v>0</v>
      </c>
      <c r="AA8" s="22">
        <f t="shared" si="0"/>
        <v>0</v>
      </c>
      <c r="AB8" s="22">
        <f t="shared" si="0"/>
        <v>1096.5149999999999</v>
      </c>
      <c r="AC8" s="22">
        <f t="shared" si="0"/>
        <v>2351.4179999999997</v>
      </c>
      <c r="AD8" s="22">
        <f t="shared" si="0"/>
        <v>1497.252</v>
      </c>
      <c r="AE8" s="22">
        <f t="shared" si="0"/>
        <v>3205.523</v>
      </c>
      <c r="AF8" s="22">
        <f t="shared" si="0"/>
        <v>2081.79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10528.893</v>
      </c>
      <c r="D9" s="71"/>
      <c r="E9" s="24"/>
      <c r="F9" s="20"/>
      <c r="G9" s="20">
        <v>61.276</v>
      </c>
      <c r="H9" s="20">
        <v>491.432</v>
      </c>
      <c r="I9" s="20">
        <v>1199.206</v>
      </c>
      <c r="J9" s="20"/>
      <c r="K9" s="20"/>
      <c r="L9" s="20"/>
      <c r="M9" s="20"/>
      <c r="N9" s="20">
        <v>300.048</v>
      </c>
      <c r="O9" s="20">
        <v>122.554</v>
      </c>
      <c r="P9" s="20">
        <v>80.053</v>
      </c>
      <c r="Q9" s="20">
        <v>154.849</v>
      </c>
      <c r="R9" s="20">
        <v>365.13</v>
      </c>
      <c r="S9" s="20">
        <v>1523.283</v>
      </c>
      <c r="T9" s="20"/>
      <c r="U9" s="20">
        <v>534.15</v>
      </c>
      <c r="V9" s="20">
        <v>528.442</v>
      </c>
      <c r="W9" s="20">
        <v>600.673</v>
      </c>
      <c r="X9" s="20">
        <v>578.869</v>
      </c>
      <c r="Y9" s="20">
        <v>1347.147</v>
      </c>
      <c r="Z9" s="25"/>
      <c r="AA9" s="25"/>
      <c r="AB9" s="20">
        <v>278.3</v>
      </c>
      <c r="AC9" s="25">
        <v>90.205</v>
      </c>
      <c r="AD9" s="20">
        <v>563.537</v>
      </c>
      <c r="AE9" s="20">
        <v>934.291</v>
      </c>
      <c r="AF9" s="20">
        <v>775.448</v>
      </c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3.07</v>
      </c>
      <c r="D10" s="71"/>
      <c r="E10" s="24"/>
      <c r="F10" s="20"/>
      <c r="G10" s="20">
        <v>1.885</v>
      </c>
      <c r="H10" s="20">
        <v>0.595</v>
      </c>
      <c r="I10" s="20">
        <v>0</v>
      </c>
      <c r="J10" s="20"/>
      <c r="K10" s="20"/>
      <c r="L10" s="20"/>
      <c r="M10" s="20"/>
      <c r="N10" s="20">
        <v>0</v>
      </c>
      <c r="O10" s="20">
        <v>0.59</v>
      </c>
      <c r="P10" s="20">
        <v>0</v>
      </c>
      <c r="Q10" s="20">
        <v>0</v>
      </c>
      <c r="R10" s="20">
        <v>0</v>
      </c>
      <c r="S10" s="20">
        <v>0</v>
      </c>
      <c r="T10" s="20"/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5"/>
      <c r="AA10" s="25"/>
      <c r="AB10" s="20">
        <v>0</v>
      </c>
      <c r="AC10" s="25">
        <v>0</v>
      </c>
      <c r="AD10" s="20">
        <v>0</v>
      </c>
      <c r="AE10" s="20">
        <v>0</v>
      </c>
      <c r="AF10" s="20">
        <v>0</v>
      </c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624.515</v>
      </c>
      <c r="D11" s="71"/>
      <c r="E11" s="24"/>
      <c r="F11" s="20"/>
      <c r="G11" s="20">
        <v>0</v>
      </c>
      <c r="H11" s="20">
        <v>0.573</v>
      </c>
      <c r="I11" s="20">
        <v>0</v>
      </c>
      <c r="J11" s="20"/>
      <c r="K11" s="20"/>
      <c r="L11" s="20"/>
      <c r="M11" s="20"/>
      <c r="N11" s="20">
        <v>0.903</v>
      </c>
      <c r="O11" s="20">
        <v>0.152</v>
      </c>
      <c r="P11" s="20">
        <v>0.901</v>
      </c>
      <c r="Q11" s="20">
        <v>0.56</v>
      </c>
      <c r="R11" s="20">
        <v>4.473</v>
      </c>
      <c r="S11" s="20">
        <v>0.069</v>
      </c>
      <c r="T11" s="20"/>
      <c r="U11" s="20">
        <v>10.404</v>
      </c>
      <c r="V11" s="20">
        <v>108.454</v>
      </c>
      <c r="W11" s="20">
        <v>2.469</v>
      </c>
      <c r="X11" s="20">
        <v>4.802</v>
      </c>
      <c r="Y11" s="20">
        <v>15.903</v>
      </c>
      <c r="Z11" s="25"/>
      <c r="AA11" s="25"/>
      <c r="AB11" s="20">
        <v>78.687</v>
      </c>
      <c r="AC11" s="25">
        <v>57.932</v>
      </c>
      <c r="AD11" s="20">
        <v>136.267</v>
      </c>
      <c r="AE11" s="20">
        <v>191.958</v>
      </c>
      <c r="AF11" s="20">
        <v>10.008</v>
      </c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2424.368</v>
      </c>
      <c r="D12" s="71"/>
      <c r="E12" s="24"/>
      <c r="F12" s="20"/>
      <c r="G12" s="20">
        <v>0</v>
      </c>
      <c r="H12" s="20">
        <v>0</v>
      </c>
      <c r="I12" s="20">
        <v>0</v>
      </c>
      <c r="J12" s="20"/>
      <c r="K12" s="20"/>
      <c r="L12" s="20"/>
      <c r="M12" s="20"/>
      <c r="N12" s="20">
        <v>6.091</v>
      </c>
      <c r="O12" s="20">
        <v>0.264</v>
      </c>
      <c r="P12" s="20">
        <v>3.725</v>
      </c>
      <c r="Q12" s="20">
        <v>17.829</v>
      </c>
      <c r="R12" s="20">
        <v>11.897</v>
      </c>
      <c r="S12" s="20">
        <v>65.291</v>
      </c>
      <c r="T12" s="20"/>
      <c r="U12" s="20">
        <v>50.452</v>
      </c>
      <c r="V12" s="20">
        <v>14.536</v>
      </c>
      <c r="W12" s="20">
        <v>29.318</v>
      </c>
      <c r="X12" s="20">
        <v>16.455</v>
      </c>
      <c r="Y12" s="20">
        <v>176.845</v>
      </c>
      <c r="Z12" s="25"/>
      <c r="AA12" s="25"/>
      <c r="AB12" s="20">
        <v>25.873</v>
      </c>
      <c r="AC12" s="25">
        <v>1049.585</v>
      </c>
      <c r="AD12" s="20">
        <v>109.781</v>
      </c>
      <c r="AE12" s="20">
        <v>561.267</v>
      </c>
      <c r="AF12" s="20">
        <v>285.159</v>
      </c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3628.433</v>
      </c>
      <c r="D13" s="71"/>
      <c r="E13" s="24"/>
      <c r="F13" s="20"/>
      <c r="G13" s="20">
        <v>8.7</v>
      </c>
      <c r="H13" s="20">
        <v>2.196</v>
      </c>
      <c r="I13" s="20">
        <v>0.46</v>
      </c>
      <c r="J13" s="20"/>
      <c r="K13" s="20"/>
      <c r="L13" s="20"/>
      <c r="M13" s="20"/>
      <c r="N13" s="20">
        <v>3.471</v>
      </c>
      <c r="O13" s="20">
        <v>85.07</v>
      </c>
      <c r="P13" s="20">
        <v>40.573</v>
      </c>
      <c r="Q13" s="20">
        <v>24.774</v>
      </c>
      <c r="R13" s="20">
        <v>45.278</v>
      </c>
      <c r="S13" s="20">
        <v>8.451</v>
      </c>
      <c r="T13" s="20"/>
      <c r="U13" s="20">
        <v>51.273</v>
      </c>
      <c r="V13" s="20">
        <v>52.757</v>
      </c>
      <c r="W13" s="20">
        <v>79.39</v>
      </c>
      <c r="X13" s="20">
        <v>49.742</v>
      </c>
      <c r="Y13" s="20">
        <v>38.522</v>
      </c>
      <c r="Z13" s="25"/>
      <c r="AA13" s="25"/>
      <c r="AB13" s="20">
        <v>343.81</v>
      </c>
      <c r="AC13" s="20">
        <v>553.51</v>
      </c>
      <c r="AD13" s="20">
        <v>419.51</v>
      </c>
      <c r="AE13" s="20">
        <v>1105.737</v>
      </c>
      <c r="AF13" s="20">
        <v>715.209</v>
      </c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4985.28</v>
      </c>
      <c r="D14" s="71"/>
      <c r="E14" s="24"/>
      <c r="F14" s="20"/>
      <c r="G14" s="20">
        <v>66.055</v>
      </c>
      <c r="H14" s="20">
        <v>87.306</v>
      </c>
      <c r="I14" s="20">
        <v>54.993</v>
      </c>
      <c r="J14" s="20"/>
      <c r="K14" s="20"/>
      <c r="L14" s="20"/>
      <c r="M14" s="20"/>
      <c r="N14" s="20">
        <v>180.15</v>
      </c>
      <c r="O14" s="20">
        <v>175.219</v>
      </c>
      <c r="P14" s="20">
        <v>129.229</v>
      </c>
      <c r="Q14" s="20">
        <v>303.61</v>
      </c>
      <c r="R14" s="20">
        <v>227.713</v>
      </c>
      <c r="S14" s="20">
        <v>182.525</v>
      </c>
      <c r="T14" s="20"/>
      <c r="U14" s="20">
        <v>454.251</v>
      </c>
      <c r="V14" s="20">
        <v>391.796</v>
      </c>
      <c r="W14" s="20">
        <v>189.091</v>
      </c>
      <c r="X14" s="20">
        <v>291.124</v>
      </c>
      <c r="Y14" s="20">
        <v>539.5</v>
      </c>
      <c r="Z14" s="25"/>
      <c r="AA14" s="25"/>
      <c r="AB14" s="20">
        <v>320.129</v>
      </c>
      <c r="AC14" s="25">
        <v>570.631</v>
      </c>
      <c r="AD14" s="20">
        <v>245.141</v>
      </c>
      <c r="AE14" s="20">
        <v>356.033</v>
      </c>
      <c r="AF14" s="20">
        <v>220.784</v>
      </c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135.22299999999998</v>
      </c>
      <c r="D15" s="71"/>
      <c r="E15" s="24"/>
      <c r="F15" s="20"/>
      <c r="G15" s="20">
        <v>0.403</v>
      </c>
      <c r="H15" s="20">
        <v>10.182</v>
      </c>
      <c r="I15" s="20">
        <v>5.276</v>
      </c>
      <c r="J15" s="20"/>
      <c r="K15" s="20"/>
      <c r="L15" s="20"/>
      <c r="M15" s="20"/>
      <c r="N15" s="20">
        <v>7.947</v>
      </c>
      <c r="O15" s="20">
        <v>11.009</v>
      </c>
      <c r="P15" s="20">
        <v>9.304</v>
      </c>
      <c r="Q15" s="20">
        <v>5.419</v>
      </c>
      <c r="R15" s="20">
        <v>9.523</v>
      </c>
      <c r="S15" s="20">
        <v>6.317</v>
      </c>
      <c r="T15" s="20"/>
      <c r="U15" s="20">
        <v>6.039</v>
      </c>
      <c r="V15" s="20">
        <v>3.943</v>
      </c>
      <c r="W15" s="20">
        <v>7.194</v>
      </c>
      <c r="X15" s="20">
        <v>5.93</v>
      </c>
      <c r="Y15" s="20">
        <v>5.39</v>
      </c>
      <c r="Z15" s="25"/>
      <c r="AA15" s="25"/>
      <c r="AB15" s="20">
        <v>7.27</v>
      </c>
      <c r="AC15" s="25">
        <v>6.732</v>
      </c>
      <c r="AD15" s="20">
        <v>7.464</v>
      </c>
      <c r="AE15" s="20">
        <v>12.349</v>
      </c>
      <c r="AF15" s="20">
        <v>7.532</v>
      </c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417.529</v>
      </c>
      <c r="D16" s="71"/>
      <c r="E16" s="24"/>
      <c r="F16" s="20"/>
      <c r="G16" s="20">
        <v>0.08</v>
      </c>
      <c r="H16" s="20">
        <v>7.198</v>
      </c>
      <c r="I16" s="20">
        <v>7.4</v>
      </c>
      <c r="J16" s="20"/>
      <c r="K16" s="20"/>
      <c r="L16" s="20"/>
      <c r="M16" s="20"/>
      <c r="N16" s="20">
        <v>11.265</v>
      </c>
      <c r="O16" s="20">
        <v>133.02</v>
      </c>
      <c r="P16" s="20">
        <v>6.306</v>
      </c>
      <c r="Q16" s="20">
        <v>19.499</v>
      </c>
      <c r="R16" s="20">
        <v>4.898</v>
      </c>
      <c r="S16" s="20">
        <v>4.555</v>
      </c>
      <c r="T16" s="20"/>
      <c r="U16" s="20">
        <v>9.683</v>
      </c>
      <c r="V16" s="20">
        <v>5.6</v>
      </c>
      <c r="W16" s="20">
        <v>6.569</v>
      </c>
      <c r="X16" s="20">
        <v>3.7</v>
      </c>
      <c r="Y16" s="20">
        <v>5.397</v>
      </c>
      <c r="Z16" s="25"/>
      <c r="AA16" s="25"/>
      <c r="AB16" s="20">
        <v>42.446</v>
      </c>
      <c r="AC16" s="25">
        <v>22.823</v>
      </c>
      <c r="AD16" s="20">
        <v>15.552</v>
      </c>
      <c r="AE16" s="20">
        <v>43.888</v>
      </c>
      <c r="AF16" s="20">
        <v>67.65</v>
      </c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25501.487999999998</v>
      </c>
      <c r="D17" s="33">
        <f>SUM(D6:D8)</f>
        <v>0</v>
      </c>
      <c r="E17" s="33">
        <f aca="true" t="shared" si="2" ref="E17:AH17">SUM(E6:E8)</f>
        <v>0</v>
      </c>
      <c r="F17" s="33">
        <f t="shared" si="2"/>
        <v>0</v>
      </c>
      <c r="G17" s="33">
        <f t="shared" si="2"/>
        <v>138.399</v>
      </c>
      <c r="H17" s="33">
        <f t="shared" si="2"/>
        <v>3579.332</v>
      </c>
      <c r="I17" s="33">
        <f t="shared" si="2"/>
        <v>1267.335</v>
      </c>
      <c r="J17" s="33">
        <f t="shared" si="2"/>
        <v>0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3489.725</v>
      </c>
      <c r="O17" s="33">
        <f t="shared" si="2"/>
        <v>527.878</v>
      </c>
      <c r="P17" s="33">
        <f t="shared" si="2"/>
        <v>270.09099999999995</v>
      </c>
      <c r="Q17" s="33">
        <f t="shared" si="2"/>
        <v>526.54</v>
      </c>
      <c r="R17" s="33">
        <f t="shared" si="2"/>
        <v>668.912</v>
      </c>
      <c r="S17" s="33">
        <f t="shared" si="2"/>
        <v>1790.491</v>
      </c>
      <c r="T17" s="33">
        <f t="shared" si="2"/>
        <v>0</v>
      </c>
      <c r="U17" s="33">
        <f t="shared" si="2"/>
        <v>1116.252</v>
      </c>
      <c r="V17" s="33">
        <f t="shared" si="2"/>
        <v>1105.5279999999998</v>
      </c>
      <c r="W17" s="33">
        <f t="shared" si="2"/>
        <v>914.704</v>
      </c>
      <c r="X17" s="33">
        <f t="shared" si="2"/>
        <v>950.6220000000001</v>
      </c>
      <c r="Y17" s="33">
        <f t="shared" si="2"/>
        <v>2128.7039999999997</v>
      </c>
      <c r="Z17" s="33">
        <f t="shared" si="2"/>
        <v>0</v>
      </c>
      <c r="AA17" s="33">
        <f t="shared" si="2"/>
        <v>0</v>
      </c>
      <c r="AB17" s="33">
        <f t="shared" si="2"/>
        <v>1096.5149999999999</v>
      </c>
      <c r="AC17" s="33">
        <f t="shared" si="2"/>
        <v>2351.4179999999997</v>
      </c>
      <c r="AD17" s="33">
        <f t="shared" si="2"/>
        <v>1497.252</v>
      </c>
      <c r="AE17" s="33">
        <f>SUM(AF6:AF8)</f>
        <v>2081.79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13981.902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  <c r="Q18" s="35">
        <f t="shared" si="3"/>
        <v>0</v>
      </c>
      <c r="R18" s="35">
        <f t="shared" si="3"/>
        <v>1035.2</v>
      </c>
      <c r="S18" s="35">
        <f t="shared" si="3"/>
        <v>332</v>
      </c>
      <c r="T18" s="35">
        <f t="shared" si="3"/>
        <v>0</v>
      </c>
      <c r="U18" s="35">
        <f t="shared" si="3"/>
        <v>0</v>
      </c>
      <c r="V18" s="35">
        <f t="shared" si="3"/>
        <v>2741.971</v>
      </c>
      <c r="W18" s="35">
        <f t="shared" si="3"/>
        <v>3219.6719999999996</v>
      </c>
      <c r="X18" s="35">
        <f t="shared" si="3"/>
        <v>0</v>
      </c>
      <c r="Y18" s="35">
        <f t="shared" si="3"/>
        <v>808.6680000000001</v>
      </c>
      <c r="Z18" s="35">
        <f t="shared" si="3"/>
        <v>0</v>
      </c>
      <c r="AA18" s="35">
        <f t="shared" si="3"/>
        <v>0</v>
      </c>
      <c r="AB18" s="35">
        <f t="shared" si="3"/>
        <v>0</v>
      </c>
      <c r="AC18" s="35">
        <f t="shared" si="3"/>
        <v>6825.539</v>
      </c>
      <c r="AD18" s="35">
        <f t="shared" si="3"/>
        <v>2655.805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17618.855</v>
      </c>
      <c r="AK18" s="36">
        <f aca="true" t="shared" si="4" ref="AK18:AK85">AJ18-C18</f>
        <v>3636.9529999999995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4779.889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1035.2</v>
      </c>
      <c r="S19" s="38">
        <f t="shared" si="5"/>
        <v>29</v>
      </c>
      <c r="T19" s="38">
        <f t="shared" si="5"/>
        <v>0</v>
      </c>
      <c r="U19" s="38">
        <f t="shared" si="5"/>
        <v>0</v>
      </c>
      <c r="V19" s="38">
        <f t="shared" si="5"/>
        <v>383.399</v>
      </c>
      <c r="W19" s="38">
        <f t="shared" si="5"/>
        <v>1.9729999999999999</v>
      </c>
      <c r="X19" s="38">
        <f t="shared" si="5"/>
        <v>0</v>
      </c>
      <c r="Y19" s="38">
        <f t="shared" si="5"/>
        <v>22.764000000000003</v>
      </c>
      <c r="Z19" s="38">
        <f t="shared" si="5"/>
        <v>0</v>
      </c>
      <c r="AA19" s="38">
        <f t="shared" si="5"/>
        <v>0</v>
      </c>
      <c r="AB19" s="38">
        <f t="shared" si="5"/>
        <v>0</v>
      </c>
      <c r="AC19" s="38">
        <f t="shared" si="5"/>
        <v>287.397</v>
      </c>
      <c r="AD19" s="38">
        <f t="shared" si="5"/>
        <v>1868.785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3628.5179999999996</v>
      </c>
      <c r="AK19" s="36">
        <f t="shared" si="4"/>
        <v>-1151.3710000000005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4287.55</v>
      </c>
      <c r="D20" s="40"/>
      <c r="E20" s="16"/>
      <c r="F20" s="16"/>
      <c r="G20" s="16"/>
      <c r="H20" s="16"/>
      <c r="I20" s="16"/>
      <c r="J20" s="16"/>
      <c r="K20" s="16"/>
      <c r="L20" s="16"/>
      <c r="M20" s="16"/>
      <c r="N20" s="20"/>
      <c r="O20" s="16"/>
      <c r="P20" s="16"/>
      <c r="Q20" s="16"/>
      <c r="R20" s="16">
        <f>725.9+309.1</f>
        <v>1035</v>
      </c>
      <c r="S20" s="16">
        <v>29</v>
      </c>
      <c r="T20" s="16"/>
      <c r="U20" s="16"/>
      <c r="V20" s="16">
        <v>377.759</v>
      </c>
      <c r="W20" s="16">
        <v>0</v>
      </c>
      <c r="X20" s="16"/>
      <c r="Y20" s="16"/>
      <c r="Z20" s="16"/>
      <c r="AA20" s="16"/>
      <c r="AB20" s="16"/>
      <c r="AC20" s="16">
        <v>287.167</v>
      </c>
      <c r="AD20" s="20">
        <v>1842.515</v>
      </c>
      <c r="AE20" s="20"/>
      <c r="AF20" s="20"/>
      <c r="AG20" s="20"/>
      <c r="AH20" s="16"/>
      <c r="AI20" s="16"/>
      <c r="AJ20" s="16">
        <f>SUM(D20:AI20)</f>
        <v>3571.441</v>
      </c>
      <c r="AK20" s="36">
        <f t="shared" si="4"/>
        <v>-716.1090000000004</v>
      </c>
      <c r="AL20" s="7"/>
      <c r="AM20" s="59" t="s">
        <v>18</v>
      </c>
      <c r="AN20" s="60">
        <f>AJ19</f>
        <v>3628.5179999999996</v>
      </c>
      <c r="AO20" s="77"/>
      <c r="AP20" s="8"/>
    </row>
    <row r="21" spans="2:42" ht="15.75">
      <c r="B21" s="39" t="s">
        <v>19</v>
      </c>
      <c r="C21" s="40">
        <v>186.719</v>
      </c>
      <c r="D21" s="40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/>
      <c r="R21" s="16"/>
      <c r="S21" s="16"/>
      <c r="T21" s="16"/>
      <c r="U21" s="16"/>
      <c r="V21" s="16"/>
      <c r="W21" s="16">
        <v>1.813</v>
      </c>
      <c r="X21" s="16"/>
      <c r="Y21" s="16"/>
      <c r="Z21" s="16"/>
      <c r="AA21" s="16"/>
      <c r="AB21" s="16"/>
      <c r="AC21" s="16"/>
      <c r="AD21" s="20">
        <v>2.778</v>
      </c>
      <c r="AE21" s="20"/>
      <c r="AF21" s="20"/>
      <c r="AG21" s="20"/>
      <c r="AH21" s="16"/>
      <c r="AI21" s="16"/>
      <c r="AJ21" s="16">
        <f>SUM(D21:AI21)</f>
        <v>4.591</v>
      </c>
      <c r="AK21" s="36">
        <f t="shared" si="4"/>
        <v>-182.128</v>
      </c>
      <c r="AL21" s="7"/>
      <c r="AM21" s="59" t="s">
        <v>20</v>
      </c>
      <c r="AN21" s="60">
        <f>AJ25</f>
        <v>8592.592999999999</v>
      </c>
      <c r="AO21" s="77"/>
      <c r="AP21" s="8"/>
    </row>
    <row r="22" spans="2:42" ht="15.75">
      <c r="B22" s="39" t="s">
        <v>21</v>
      </c>
      <c r="C22" s="40">
        <v>305.62</v>
      </c>
      <c r="D22" s="4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0.2</v>
      </c>
      <c r="S22" s="16"/>
      <c r="T22" s="16"/>
      <c r="U22" s="16"/>
      <c r="V22" s="16">
        <v>5.64</v>
      </c>
      <c r="W22" s="16">
        <v>0.16</v>
      </c>
      <c r="X22" s="16"/>
      <c r="Y22" s="16">
        <f>1.315+20.359+0.19+0.9</f>
        <v>22.764000000000003</v>
      </c>
      <c r="Z22" s="16"/>
      <c r="AA22" s="16"/>
      <c r="AB22" s="16"/>
      <c r="AC22" s="16">
        <v>0.23</v>
      </c>
      <c r="AD22" s="16">
        <f>23.492</f>
        <v>23.492</v>
      </c>
      <c r="AE22" s="16"/>
      <c r="AF22" s="16"/>
      <c r="AG22" s="16"/>
      <c r="AH22" s="16"/>
      <c r="AI22" s="16"/>
      <c r="AJ22" s="16">
        <f>SUM(D22:AI22)</f>
        <v>52.486000000000004</v>
      </c>
      <c r="AK22" s="36">
        <f t="shared" si="4"/>
        <v>-253.13400000000001</v>
      </c>
      <c r="AL22" s="7"/>
      <c r="AM22" s="59" t="s">
        <v>22</v>
      </c>
      <c r="AN22" s="60">
        <f>$AJ$31+$AJ$33</f>
        <v>11.731</v>
      </c>
      <c r="AO22" s="77"/>
      <c r="AP22" s="8"/>
    </row>
    <row r="23" spans="2:42" ht="34.5" customHeight="1">
      <c r="B23" s="37" t="s">
        <v>69</v>
      </c>
      <c r="C23" s="70">
        <f>SUM(C24)</f>
        <v>1600.5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0</v>
      </c>
      <c r="AC23" s="70">
        <f t="shared" si="6"/>
        <v>920.943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920.943</v>
      </c>
      <c r="AK23" s="36">
        <f t="shared" si="4"/>
        <v>-679.557</v>
      </c>
      <c r="AL23" s="7"/>
      <c r="AM23" s="59" t="s">
        <v>23</v>
      </c>
      <c r="AN23" s="60">
        <f>$AJ$34+$AJ$35+$AJ$38+$AJ$43+$AJ$47+$AJ$37+$AJ$36</f>
        <v>1189.395</v>
      </c>
      <c r="AO23" s="77"/>
      <c r="AP23" s="8"/>
    </row>
    <row r="24" spans="2:42" ht="15" customHeight="1">
      <c r="B24" s="39" t="s">
        <v>21</v>
      </c>
      <c r="C24" s="40">
        <v>1600.5</v>
      </c>
      <c r="D24" s="40"/>
      <c r="E24" s="44"/>
      <c r="F24" s="44">
        <v>0</v>
      </c>
      <c r="G24" s="44"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>
        <v>920.943</v>
      </c>
      <c r="AD24" s="44"/>
      <c r="AE24" s="44"/>
      <c r="AF24" s="44"/>
      <c r="AG24" s="44"/>
      <c r="AH24" s="44"/>
      <c r="AI24" s="44"/>
      <c r="AJ24" s="40">
        <f>SUM(D24:AH24)</f>
        <v>920.943</v>
      </c>
      <c r="AK24" s="36"/>
      <c r="AL24" s="7"/>
      <c r="AM24" s="59" t="s">
        <v>24</v>
      </c>
      <c r="AN24" s="60">
        <f>$AJ$68+$AJ$71+$AJ$79+$AJ$64+$AJ$66</f>
        <v>1048.128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0</v>
      </c>
      <c r="D25" s="38">
        <f t="shared" si="7"/>
        <v>0</v>
      </c>
      <c r="E25" s="38">
        <f t="shared" si="7"/>
        <v>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0</v>
      </c>
      <c r="V25" s="38">
        <f t="shared" si="7"/>
        <v>1011.528</v>
      </c>
      <c r="W25" s="38">
        <f t="shared" si="7"/>
        <v>2950.0719999999997</v>
      </c>
      <c r="X25" s="38">
        <f t="shared" si="7"/>
        <v>0</v>
      </c>
      <c r="Y25" s="38">
        <f t="shared" si="7"/>
        <v>746.0390000000001</v>
      </c>
      <c r="Z25" s="38">
        <f t="shared" si="7"/>
        <v>0</v>
      </c>
      <c r="AA25" s="38">
        <f t="shared" si="7"/>
        <v>0</v>
      </c>
      <c r="AB25" s="38">
        <f t="shared" si="7"/>
        <v>0</v>
      </c>
      <c r="AC25" s="38">
        <f t="shared" si="7"/>
        <v>3573.772</v>
      </c>
      <c r="AD25" s="38">
        <f t="shared" si="7"/>
        <v>311.182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8592.592999999999</v>
      </c>
      <c r="AK25" s="36">
        <f t="shared" si="4"/>
        <v>8592.592999999999</v>
      </c>
      <c r="AL25" s="2"/>
      <c r="AM25" s="59" t="s">
        <v>26</v>
      </c>
      <c r="AN25" s="60">
        <f>$AJ$54</f>
        <v>1509.562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/>
      <c r="D26" s="40"/>
      <c r="E26" s="16"/>
      <c r="F26" s="16"/>
      <c r="G26" s="16"/>
      <c r="H26" s="16"/>
      <c r="I26" s="16"/>
      <c r="J26" s="16"/>
      <c r="K26" s="16"/>
      <c r="L26" s="16"/>
      <c r="M26" s="16"/>
      <c r="N26" s="20"/>
      <c r="O26" s="16"/>
      <c r="P26" s="16"/>
      <c r="Q26" s="16"/>
      <c r="R26" s="16"/>
      <c r="S26" s="16"/>
      <c r="T26" s="16"/>
      <c r="U26" s="16"/>
      <c r="V26" s="16">
        <f>765.728+245.8</f>
        <v>1011.528</v>
      </c>
      <c r="W26" s="16">
        <f>1914.482+1034.017</f>
        <v>2948.499</v>
      </c>
      <c r="X26" s="16"/>
      <c r="Y26" s="16">
        <v>745.139</v>
      </c>
      <c r="Z26" s="16"/>
      <c r="AA26" s="16"/>
      <c r="AB26" s="16"/>
      <c r="AC26" s="16">
        <f>2575.47+752.697+54.491+53.482</f>
        <v>3436.14</v>
      </c>
      <c r="AD26" s="20">
        <v>92.396</v>
      </c>
      <c r="AE26" s="20"/>
      <c r="AF26" s="20"/>
      <c r="AG26" s="20"/>
      <c r="AH26" s="16"/>
      <c r="AI26" s="16"/>
      <c r="AJ26" s="16">
        <f>SUM(D26:AI26)</f>
        <v>8233.702000000001</v>
      </c>
      <c r="AK26" s="36">
        <f t="shared" si="4"/>
        <v>8233.702000000001</v>
      </c>
      <c r="AL26" s="7"/>
      <c r="AM26" s="59" t="s">
        <v>28</v>
      </c>
      <c r="AN26" s="60">
        <f>$AJ$58</f>
        <v>472.781</v>
      </c>
      <c r="AO26" s="77"/>
      <c r="AP26" s="8"/>
    </row>
    <row r="27" spans="2:42" ht="15.75">
      <c r="B27" s="39" t="s">
        <v>25</v>
      </c>
      <c r="C27" s="40"/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1.755</v>
      </c>
      <c r="AD27" s="20"/>
      <c r="AE27" s="20"/>
      <c r="AF27" s="20"/>
      <c r="AG27" s="20"/>
      <c r="AH27" s="16"/>
      <c r="AI27" s="16"/>
      <c r="AJ27" s="16">
        <f>SUM(D27:AI27)</f>
        <v>1.755</v>
      </c>
      <c r="AK27" s="36">
        <f t="shared" si="4"/>
        <v>1.755</v>
      </c>
      <c r="AL27" s="7"/>
      <c r="AM27" s="59" t="s">
        <v>29</v>
      </c>
      <c r="AN27" s="60">
        <f>$AJ$51+$AJ$76+$AJ$83+$AJ$84+$AJ$89+$AJ$78+$AJ$80+$AJ$85+$AJ$86+$AJ$88+$AJ$82+$AJ$87+$AJ$23</f>
        <v>1166.147</v>
      </c>
      <c r="AO27" s="77"/>
      <c r="AP27" s="8"/>
    </row>
    <row r="28" spans="2:42" ht="15.75">
      <c r="B28" s="39" t="s">
        <v>27</v>
      </c>
      <c r="C28" s="40"/>
      <c r="D28" s="40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92.051</v>
      </c>
      <c r="AD28" s="20"/>
      <c r="AE28" s="20"/>
      <c r="AF28" s="20"/>
      <c r="AG28" s="20"/>
      <c r="AH28" s="16"/>
      <c r="AI28" s="16"/>
      <c r="AJ28" s="16">
        <f>SUM(D28:AI28)</f>
        <v>92.051</v>
      </c>
      <c r="AK28" s="36">
        <f t="shared" si="4"/>
        <v>92.051</v>
      </c>
      <c r="AL28" s="7"/>
      <c r="AO28" s="77"/>
      <c r="AP28" s="8"/>
    </row>
    <row r="29" spans="2:42" ht="15.75">
      <c r="B29" s="39" t="s">
        <v>19</v>
      </c>
      <c r="C29" s="40"/>
      <c r="D29" s="40"/>
      <c r="E29" s="16"/>
      <c r="F29" s="16"/>
      <c r="G29" s="16"/>
      <c r="H29" s="16"/>
      <c r="I29" s="16"/>
      <c r="J29" s="16"/>
      <c r="K29" s="16"/>
      <c r="L29" s="16"/>
      <c r="M29" s="16"/>
      <c r="N29" s="2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0.57</v>
      </c>
      <c r="Z29" s="16"/>
      <c r="AA29" s="16"/>
      <c r="AB29" s="16"/>
      <c r="AC29" s="16">
        <v>37.476</v>
      </c>
      <c r="AD29" s="20">
        <v>209.186</v>
      </c>
      <c r="AE29" s="20"/>
      <c r="AF29" s="20"/>
      <c r="AG29" s="20"/>
      <c r="AH29" s="16"/>
      <c r="AI29" s="16"/>
      <c r="AJ29" s="16">
        <f>SUM(D29:AI29)</f>
        <v>247.232</v>
      </c>
      <c r="AK29" s="36">
        <f t="shared" si="4"/>
        <v>247.232</v>
      </c>
      <c r="AL29" s="7"/>
      <c r="AO29" s="77"/>
      <c r="AP29" s="8"/>
    </row>
    <row r="30" spans="2:42" ht="15.75">
      <c r="B30" s="39" t="s">
        <v>21</v>
      </c>
      <c r="C30" s="40"/>
      <c r="D30" s="4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1.573</v>
      </c>
      <c r="X30" s="16"/>
      <c r="Y30" s="16">
        <v>0.33</v>
      </c>
      <c r="Z30" s="16"/>
      <c r="AA30" s="16"/>
      <c r="AB30" s="16"/>
      <c r="AC30" s="16">
        <f>0.34+5.71+0.3</f>
        <v>6.35</v>
      </c>
      <c r="AD30" s="16">
        <v>9.6</v>
      </c>
      <c r="AE30" s="16"/>
      <c r="AF30" s="16"/>
      <c r="AG30" s="16"/>
      <c r="AH30" s="16"/>
      <c r="AI30" s="16"/>
      <c r="AJ30" s="16">
        <f>SUM(D30:AI30)</f>
        <v>17.853</v>
      </c>
      <c r="AK30" s="36">
        <f t="shared" si="4"/>
        <v>17.853</v>
      </c>
      <c r="AL30" s="7"/>
      <c r="AM30" s="77"/>
      <c r="AN30" s="78"/>
      <c r="AO30" s="77"/>
      <c r="AP30" s="8"/>
    </row>
    <row r="31" spans="2:42" ht="29.25">
      <c r="B31" s="37" t="s">
        <v>30</v>
      </c>
      <c r="C31" s="38">
        <f>C32</f>
        <v>456.8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0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0</v>
      </c>
      <c r="T31" s="38">
        <f t="shared" si="8"/>
        <v>0</v>
      </c>
      <c r="U31" s="38">
        <f t="shared" si="8"/>
        <v>0</v>
      </c>
      <c r="V31" s="38">
        <f t="shared" si="8"/>
        <v>0</v>
      </c>
      <c r="W31" s="38">
        <f t="shared" si="8"/>
        <v>0</v>
      </c>
      <c r="X31" s="38">
        <f t="shared" si="8"/>
        <v>0</v>
      </c>
      <c r="Y31" s="38">
        <f t="shared" si="8"/>
        <v>11.731</v>
      </c>
      <c r="Z31" s="38">
        <f t="shared" si="8"/>
        <v>0</v>
      </c>
      <c r="AA31" s="38">
        <f t="shared" si="8"/>
        <v>0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11.731</v>
      </c>
      <c r="AK31" s="36">
        <f t="shared" si="4"/>
        <v>-445.069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456.8</v>
      </c>
      <c r="D32" s="2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>
        <v>11.731</v>
      </c>
      <c r="Z32" s="20"/>
      <c r="AA32" s="20"/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11.731</v>
      </c>
      <c r="AK32" s="36">
        <f t="shared" si="4"/>
        <v>-445.069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>
        <v>2.189</v>
      </c>
      <c r="X34" s="38"/>
      <c r="Y34" s="38">
        <v>9.046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11.235</v>
      </c>
      <c r="AK34" s="36">
        <f t="shared" si="4"/>
        <v>11.235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0</v>
      </c>
      <c r="AK37" s="36">
        <f t="shared" si="4"/>
        <v>0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1046.8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256.345</v>
      </c>
      <c r="X38" s="38">
        <f t="shared" si="9"/>
        <v>0</v>
      </c>
      <c r="Y38" s="38">
        <f t="shared" si="9"/>
        <v>3.628</v>
      </c>
      <c r="Z38" s="38">
        <f t="shared" si="9"/>
        <v>0</v>
      </c>
      <c r="AA38" s="38">
        <f t="shared" si="9"/>
        <v>0</v>
      </c>
      <c r="AB38" s="38">
        <f t="shared" si="9"/>
        <v>0</v>
      </c>
      <c r="AC38" s="38">
        <f t="shared" si="9"/>
        <v>662.2280000000001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922.201</v>
      </c>
      <c r="AK38" s="36">
        <f t="shared" si="4"/>
        <v>-124.59899999999993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964.4</v>
      </c>
      <c r="D39" s="40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16"/>
      <c r="P39" s="16"/>
      <c r="Q39" s="16"/>
      <c r="R39" s="16"/>
      <c r="S39" s="16"/>
      <c r="T39" s="16"/>
      <c r="U39" s="16"/>
      <c r="V39" s="44"/>
      <c r="W39" s="16">
        <v>256.345</v>
      </c>
      <c r="X39" s="16"/>
      <c r="Y39" s="16"/>
      <c r="Z39" s="44"/>
      <c r="AA39" s="16"/>
      <c r="AB39" s="16"/>
      <c r="AC39" s="16">
        <v>641.7</v>
      </c>
      <c r="AD39" s="20"/>
      <c r="AE39" s="20"/>
      <c r="AF39" s="20"/>
      <c r="AG39" s="20"/>
      <c r="AH39" s="16"/>
      <c r="AI39" s="16"/>
      <c r="AJ39" s="16">
        <f>SUM(D39:AI39)</f>
        <v>898.0450000000001</v>
      </c>
      <c r="AK39" s="36">
        <f t="shared" si="4"/>
        <v>-66.3549999999999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2.8</v>
      </c>
      <c r="D40" s="40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</v>
      </c>
      <c r="AK40" s="36">
        <f t="shared" si="4"/>
        <v>-2.8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54.6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4"/>
      <c r="W41" s="16"/>
      <c r="X41" s="16"/>
      <c r="Y41" s="16">
        <v>0.342</v>
      </c>
      <c r="Z41" s="44"/>
      <c r="AA41" s="16"/>
      <c r="AB41" s="16"/>
      <c r="AC41" s="16">
        <v>20.495</v>
      </c>
      <c r="AD41" s="20"/>
      <c r="AE41" s="20"/>
      <c r="AF41" s="20"/>
      <c r="AG41" s="20"/>
      <c r="AH41" s="16"/>
      <c r="AI41" s="16"/>
      <c r="AJ41" s="16">
        <f>SUM(D41:AI41)</f>
        <v>20.837</v>
      </c>
      <c r="AK41" s="36">
        <f t="shared" si="4"/>
        <v>-33.763000000000005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25</v>
      </c>
      <c r="D42" s="4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3.286</v>
      </c>
      <c r="Z42" s="16"/>
      <c r="AA42" s="16"/>
      <c r="AB42" s="16"/>
      <c r="AC42" s="16">
        <v>0.033</v>
      </c>
      <c r="AD42" s="16"/>
      <c r="AE42" s="16"/>
      <c r="AF42" s="16"/>
      <c r="AG42" s="16"/>
      <c r="AH42" s="16"/>
      <c r="AI42" s="16"/>
      <c r="AJ42" s="16">
        <f>SUM(D42:AI42)</f>
        <v>3.319</v>
      </c>
      <c r="AK42" s="36">
        <f t="shared" si="4"/>
        <v>-21.681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228.20000000000002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43.536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0</v>
      </c>
      <c r="AC43" s="38">
        <f t="shared" si="10"/>
        <v>2.3720000000000003</v>
      </c>
      <c r="AD43" s="38">
        <f t="shared" si="10"/>
        <v>115.908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161.81600000000003</v>
      </c>
      <c r="AK43" s="36">
        <f t="shared" si="4"/>
        <v>-66.38399999999999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207.4</v>
      </c>
      <c r="D44" s="40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/>
      <c r="V44" s="44">
        <v>43.536</v>
      </c>
      <c r="W44" s="16"/>
      <c r="X44" s="16"/>
      <c r="Y44" s="16"/>
      <c r="Z44" s="44"/>
      <c r="AA44" s="16"/>
      <c r="AB44" s="16"/>
      <c r="AC44" s="16"/>
      <c r="AD44" s="20">
        <v>115.908</v>
      </c>
      <c r="AE44" s="20"/>
      <c r="AF44" s="20"/>
      <c r="AG44" s="20"/>
      <c r="AH44" s="16"/>
      <c r="AI44" s="16"/>
      <c r="AJ44" s="16">
        <f>SUM(D44:AI44)</f>
        <v>159.44400000000002</v>
      </c>
      <c r="AK44" s="36">
        <f t="shared" si="4"/>
        <v>-47.95599999999999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14.8</v>
      </c>
      <c r="D45" s="40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0</v>
      </c>
      <c r="Z45" s="16"/>
      <c r="AA45" s="16"/>
      <c r="AB45" s="16"/>
      <c r="AC45" s="16">
        <v>0.228</v>
      </c>
      <c r="AD45" s="20"/>
      <c r="AE45" s="20"/>
      <c r="AF45" s="20"/>
      <c r="AG45" s="20"/>
      <c r="AH45" s="16"/>
      <c r="AI45" s="16"/>
      <c r="AJ45" s="16">
        <f>SUM(D45:AI45)</f>
        <v>0.228</v>
      </c>
      <c r="AK45" s="36">
        <f t="shared" si="4"/>
        <v>-14.572000000000001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6</v>
      </c>
      <c r="D46" s="40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>
        <v>2.144</v>
      </c>
      <c r="AD46" s="16"/>
      <c r="AE46" s="16"/>
      <c r="AF46" s="16"/>
      <c r="AG46" s="16"/>
      <c r="AH46" s="16"/>
      <c r="AI46" s="16"/>
      <c r="AJ46" s="16">
        <f>SUM(D46:AI46)</f>
        <v>2.144</v>
      </c>
      <c r="AK46" s="36">
        <f t="shared" si="4"/>
        <v>-3.856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142.2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0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38.43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0</v>
      </c>
      <c r="AA47" s="38">
        <f t="shared" si="11"/>
        <v>0</v>
      </c>
      <c r="AB47" s="38">
        <f t="shared" si="11"/>
        <v>0</v>
      </c>
      <c r="AC47" s="38">
        <f t="shared" si="11"/>
        <v>55.713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94.143</v>
      </c>
      <c r="AK47" s="36">
        <f t="shared" si="4"/>
        <v>-48.05699999999999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134</v>
      </c>
      <c r="D48" s="40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16"/>
      <c r="P48" s="16"/>
      <c r="Q48" s="16"/>
      <c r="R48" s="16"/>
      <c r="S48" s="16"/>
      <c r="T48" s="16"/>
      <c r="U48" s="16"/>
      <c r="V48" s="16">
        <v>38.43</v>
      </c>
      <c r="W48" s="16"/>
      <c r="X48" s="16"/>
      <c r="Y48" s="16"/>
      <c r="Z48" s="16"/>
      <c r="AA48" s="16"/>
      <c r="AB48" s="16"/>
      <c r="AC48" s="16">
        <v>55.713</v>
      </c>
      <c r="AD48" s="20"/>
      <c r="AE48" s="20"/>
      <c r="AF48" s="20"/>
      <c r="AG48" s="20"/>
      <c r="AH48" s="20"/>
      <c r="AI48" s="20"/>
      <c r="AJ48" s="16">
        <f>SUM(D48:AI48)</f>
        <v>94.143</v>
      </c>
      <c r="AK48" s="36">
        <f t="shared" si="4"/>
        <v>-39.857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6.2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0</v>
      </c>
      <c r="AK49" s="36">
        <f t="shared" si="4"/>
        <v>-6.2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2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0</v>
      </c>
      <c r="AK50" s="36">
        <f t="shared" si="4"/>
        <v>-2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17.32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-17.32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17.32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-17.32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1897.1000000000001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303</v>
      </c>
      <c r="T54" s="38">
        <f t="shared" si="13"/>
        <v>0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0.4</v>
      </c>
      <c r="Z54" s="38">
        <f t="shared" si="13"/>
        <v>0</v>
      </c>
      <c r="AA54" s="38">
        <f t="shared" si="13"/>
        <v>0</v>
      </c>
      <c r="AB54" s="38">
        <f t="shared" si="13"/>
        <v>0</v>
      </c>
      <c r="AC54" s="38">
        <f t="shared" si="13"/>
        <v>1206.1619999999998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1509.562</v>
      </c>
      <c r="AK54" s="36">
        <f t="shared" si="4"/>
        <v>-387.53800000000024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1466.4</v>
      </c>
      <c r="D55" s="40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16"/>
      <c r="P55" s="16"/>
      <c r="Q55" s="16"/>
      <c r="R55" s="16"/>
      <c r="S55" s="16">
        <v>303</v>
      </c>
      <c r="T55" s="16"/>
      <c r="U55" s="16"/>
      <c r="V55" s="44"/>
      <c r="W55" s="16"/>
      <c r="X55" s="16"/>
      <c r="Y55" s="16"/>
      <c r="Z55" s="44"/>
      <c r="AA55" s="16"/>
      <c r="AB55" s="16"/>
      <c r="AC55" s="16">
        <v>1203.418</v>
      </c>
      <c r="AD55" s="20"/>
      <c r="AE55" s="20"/>
      <c r="AF55" s="20"/>
      <c r="AG55" s="20"/>
      <c r="AH55" s="16"/>
      <c r="AI55" s="16"/>
      <c r="AJ55" s="16">
        <f>SUM(D55:AI55)</f>
        <v>1506.418</v>
      </c>
      <c r="AK55" s="36">
        <f t="shared" si="4"/>
        <v>40.0179999999998</v>
      </c>
    </row>
    <row r="56" spans="2:37" ht="15.75">
      <c r="B56" s="39" t="s">
        <v>19</v>
      </c>
      <c r="C56" s="40">
        <v>387.9</v>
      </c>
      <c r="D56" s="40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/>
      <c r="T56" s="16"/>
      <c r="U56" s="16"/>
      <c r="V56" s="44"/>
      <c r="W56" s="16"/>
      <c r="X56" s="16"/>
      <c r="Y56" s="16"/>
      <c r="Z56" s="44"/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0</v>
      </c>
      <c r="AK56" s="36">
        <f t="shared" si="4"/>
        <v>-387.9</v>
      </c>
    </row>
    <row r="57" spans="2:38" ht="15.75">
      <c r="B57" s="39" t="s">
        <v>21</v>
      </c>
      <c r="C57" s="40">
        <v>42.8</v>
      </c>
      <c r="D57" s="4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0.4</v>
      </c>
      <c r="Z57" s="16"/>
      <c r="AA57" s="16"/>
      <c r="AB57" s="16"/>
      <c r="AC57" s="16">
        <v>2.744</v>
      </c>
      <c r="AD57" s="16"/>
      <c r="AE57" s="16"/>
      <c r="AF57" s="16"/>
      <c r="AG57" s="16"/>
      <c r="AH57" s="16"/>
      <c r="AI57" s="16"/>
      <c r="AJ57" s="16">
        <f>SUM(D57:AI57)</f>
        <v>3.144</v>
      </c>
      <c r="AK57" s="36">
        <f t="shared" si="4"/>
        <v>-39.656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726.84</v>
      </c>
      <c r="D58" s="38">
        <f aca="true" t="shared" si="14" ref="D58:AJ58">SUM(D59:D63)</f>
        <v>0</v>
      </c>
      <c r="E58" s="38">
        <f t="shared" si="14"/>
        <v>0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148.3</v>
      </c>
      <c r="W58" s="38">
        <f t="shared" si="14"/>
        <v>9.093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0</v>
      </c>
      <c r="AB58" s="38">
        <f t="shared" si="14"/>
        <v>0</v>
      </c>
      <c r="AC58" s="38">
        <f t="shared" si="14"/>
        <v>10.931</v>
      </c>
      <c r="AD58" s="38">
        <f t="shared" si="14"/>
        <v>304.457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472.781</v>
      </c>
      <c r="AK58" s="36">
        <f t="shared" si="4"/>
        <v>-254.05900000000003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512.4</v>
      </c>
      <c r="D59" s="40"/>
      <c r="E59" s="16"/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/>
      <c r="Q59" s="16"/>
      <c r="R59" s="16"/>
      <c r="S59" s="16"/>
      <c r="T59" s="16"/>
      <c r="U59" s="16"/>
      <c r="V59" s="44">
        <v>148.3</v>
      </c>
      <c r="W59" s="16"/>
      <c r="X59" s="16"/>
      <c r="Y59" s="16"/>
      <c r="Z59" s="44"/>
      <c r="AA59" s="16"/>
      <c r="AB59" s="16"/>
      <c r="AC59" s="16"/>
      <c r="AD59" s="20">
        <v>299.445</v>
      </c>
      <c r="AE59" s="20"/>
      <c r="AF59" s="20"/>
      <c r="AG59" s="20"/>
      <c r="AH59" s="16"/>
      <c r="AI59" s="16"/>
      <c r="AJ59" s="16">
        <f>SUM(D59:AI59)</f>
        <v>447.745</v>
      </c>
      <c r="AK59" s="36">
        <f t="shared" si="4"/>
        <v>-64.65499999999997</v>
      </c>
    </row>
    <row r="60" spans="2:37" ht="15.75">
      <c r="B60" s="39" t="s">
        <v>25</v>
      </c>
      <c r="C60" s="40">
        <v>2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-2</v>
      </c>
    </row>
    <row r="61" spans="2:37" ht="15.75">
      <c r="B61" s="39" t="s">
        <v>19</v>
      </c>
      <c r="C61" s="40">
        <v>77.6</v>
      </c>
      <c r="D61" s="40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/>
      <c r="W61" s="16"/>
      <c r="X61" s="16"/>
      <c r="Y61" s="16"/>
      <c r="Z61" s="16"/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0</v>
      </c>
      <c r="AK61" s="36">
        <f t="shared" si="4"/>
        <v>-77.6</v>
      </c>
    </row>
    <row r="62" spans="2:37" ht="15.75">
      <c r="B62" s="39" t="s">
        <v>31</v>
      </c>
      <c r="C62" s="40">
        <v>44.6</v>
      </c>
      <c r="D62" s="40"/>
      <c r="E62" s="16"/>
      <c r="F62" s="16"/>
      <c r="G62" s="16"/>
      <c r="H62" s="16"/>
      <c r="I62" s="16"/>
      <c r="J62" s="16"/>
      <c r="K62" s="16"/>
      <c r="L62" s="16"/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>
        <v>9.093</v>
      </c>
      <c r="X62" s="16"/>
      <c r="Y62" s="16"/>
      <c r="Z62" s="16"/>
      <c r="AA62" s="16"/>
      <c r="AB62" s="16"/>
      <c r="AC62" s="16">
        <v>10.931</v>
      </c>
      <c r="AD62" s="20"/>
      <c r="AE62" s="20"/>
      <c r="AF62" s="20"/>
      <c r="AG62" s="16"/>
      <c r="AH62" s="20"/>
      <c r="AI62" s="20"/>
      <c r="AJ62" s="16">
        <f>SUM(D62:AI62)</f>
        <v>20.024</v>
      </c>
      <c r="AK62" s="36">
        <f t="shared" si="4"/>
        <v>-24.576</v>
      </c>
    </row>
    <row r="63" spans="2:37" ht="15.75">
      <c r="B63" s="39" t="s">
        <v>21</v>
      </c>
      <c r="C63" s="40">
        <v>90.24</v>
      </c>
      <c r="D63" s="4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>
        <v>5.012</v>
      </c>
      <c r="AE63" s="16"/>
      <c r="AF63" s="16"/>
      <c r="AG63" s="16"/>
      <c r="AH63" s="16"/>
      <c r="AI63" s="16"/>
      <c r="AJ63" s="16">
        <f>SUM(D63:AI63)</f>
        <v>5.012</v>
      </c>
      <c r="AK63" s="36">
        <f t="shared" si="4"/>
        <v>-85.228</v>
      </c>
    </row>
    <row r="64" spans="2:37" ht="43.5">
      <c r="B64" s="37" t="s">
        <v>70</v>
      </c>
      <c r="C64" s="38">
        <f>C65</f>
        <v>143.54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-143.54</v>
      </c>
    </row>
    <row r="65" spans="2:37" ht="15.75">
      <c r="B65" s="39" t="s">
        <v>31</v>
      </c>
      <c r="C65" s="40">
        <v>143.54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-143.54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2334.24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0</v>
      </c>
      <c r="U68" s="38">
        <f t="shared" si="17"/>
        <v>0</v>
      </c>
      <c r="V68" s="38">
        <f t="shared" si="17"/>
        <v>1048.128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0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1048.128</v>
      </c>
      <c r="AK68" s="36">
        <f t="shared" si="4"/>
        <v>-1286.1119999999999</v>
      </c>
    </row>
    <row r="69" spans="2:37" ht="15.75">
      <c r="B69" s="50" t="s">
        <v>46</v>
      </c>
      <c r="C69" s="29">
        <v>92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-92</v>
      </c>
    </row>
    <row r="70" spans="2:37" ht="15.75">
      <c r="B70" s="50" t="s">
        <v>31</v>
      </c>
      <c r="C70" s="29">
        <v>2242.24</v>
      </c>
      <c r="D70" s="2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1048.128</v>
      </c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1048.128</v>
      </c>
      <c r="AK70" s="36">
        <f t="shared" si="4"/>
        <v>-1194.1119999999999</v>
      </c>
    </row>
    <row r="71" spans="2:37" ht="15.75">
      <c r="B71" s="37" t="s">
        <v>47</v>
      </c>
      <c r="C71" s="38">
        <f>C72+C73</f>
        <v>0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0</v>
      </c>
      <c r="AK71" s="36">
        <f t="shared" si="4"/>
        <v>0</v>
      </c>
    </row>
    <row r="72" spans="2:37" ht="15.75">
      <c r="B72" s="39" t="s">
        <v>19</v>
      </c>
      <c r="C72" s="29"/>
      <c r="D72" s="2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0</v>
      </c>
      <c r="AK72" s="36">
        <f t="shared" si="4"/>
        <v>0</v>
      </c>
    </row>
    <row r="73" spans="2:37" ht="15.75">
      <c r="B73" s="39" t="s">
        <v>31</v>
      </c>
      <c r="C73" s="29"/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36">
        <f t="shared" si="4"/>
        <v>0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55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>
        <v>15.06</v>
      </c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15.06</v>
      </c>
      <c r="AK80" s="36">
        <f t="shared" si="4"/>
        <v>-39.94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218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>
        <v>68.65</v>
      </c>
      <c r="W82" s="38"/>
      <c r="X82" s="38"/>
      <c r="Y82" s="38"/>
      <c r="Z82" s="38"/>
      <c r="AA82" s="38"/>
      <c r="AB82" s="38"/>
      <c r="AC82" s="38">
        <v>106.021</v>
      </c>
      <c r="AD82" s="38"/>
      <c r="AE82" s="38"/>
      <c r="AF82" s="38"/>
      <c r="AG82" s="38"/>
      <c r="AH82" s="38"/>
      <c r="AI82" s="38"/>
      <c r="AJ82" s="38">
        <f t="shared" si="20"/>
        <v>174.671</v>
      </c>
      <c r="AK82" s="36">
        <f t="shared" si="4"/>
        <v>-43.32900000000001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254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-254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55.473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>
        <v>55.473</v>
      </c>
      <c r="AE86" s="38"/>
      <c r="AF86" s="38"/>
      <c r="AG86" s="38"/>
      <c r="AH86" s="38"/>
      <c r="AI86" s="38"/>
      <c r="AJ86" s="38">
        <f t="shared" si="20"/>
        <v>55.473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36">
        <f t="shared" si="21"/>
        <v>0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13981.902</v>
      </c>
      <c r="D90" s="53">
        <f aca="true" t="shared" si="22" ref="D90:AH90">SUM(D91:D97)</f>
        <v>0</v>
      </c>
      <c r="E90" s="53">
        <f t="shared" si="22"/>
        <v>0</v>
      </c>
      <c r="F90" s="53">
        <f t="shared" si="22"/>
        <v>0</v>
      </c>
      <c r="G90" s="53">
        <f t="shared" si="22"/>
        <v>0</v>
      </c>
      <c r="H90" s="53">
        <f t="shared" si="22"/>
        <v>0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0</v>
      </c>
      <c r="M90" s="53">
        <f t="shared" si="22"/>
        <v>0</v>
      </c>
      <c r="N90" s="53">
        <f t="shared" si="22"/>
        <v>0</v>
      </c>
      <c r="O90" s="53">
        <f t="shared" si="22"/>
        <v>0</v>
      </c>
      <c r="P90" s="53">
        <f t="shared" si="22"/>
        <v>0</v>
      </c>
      <c r="Q90" s="53">
        <f t="shared" si="22"/>
        <v>0</v>
      </c>
      <c r="R90" s="53">
        <f t="shared" si="22"/>
        <v>1035.2</v>
      </c>
      <c r="S90" s="53">
        <f t="shared" si="22"/>
        <v>332</v>
      </c>
      <c r="T90" s="53">
        <f t="shared" si="22"/>
        <v>0</v>
      </c>
      <c r="U90" s="53">
        <f t="shared" si="22"/>
        <v>0</v>
      </c>
      <c r="V90" s="53">
        <f t="shared" si="22"/>
        <v>2741.971</v>
      </c>
      <c r="W90" s="53">
        <f t="shared" si="22"/>
        <v>3219.672</v>
      </c>
      <c r="X90" s="53">
        <f t="shared" si="22"/>
        <v>0</v>
      </c>
      <c r="Y90" s="53">
        <f t="shared" si="22"/>
        <v>808.668</v>
      </c>
      <c r="Z90" s="53">
        <f t="shared" si="22"/>
        <v>0</v>
      </c>
      <c r="AA90" s="53">
        <f t="shared" si="22"/>
        <v>0</v>
      </c>
      <c r="AB90" s="53">
        <f t="shared" si="22"/>
        <v>0</v>
      </c>
      <c r="AC90" s="53">
        <f t="shared" si="22"/>
        <v>6825.538999999999</v>
      </c>
      <c r="AD90" s="53">
        <f t="shared" si="22"/>
        <v>2655.805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17618.855</v>
      </c>
      <c r="AK90" s="36">
        <f t="shared" si="21"/>
        <v>3636.9529999999995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7572.15</v>
      </c>
      <c r="D91" s="40">
        <f t="shared" si="23"/>
        <v>0</v>
      </c>
      <c r="E91" s="40">
        <f t="shared" si="23"/>
        <v>0</v>
      </c>
      <c r="F91" s="40">
        <f t="shared" si="23"/>
        <v>0</v>
      </c>
      <c r="G91" s="40">
        <f t="shared" si="23"/>
        <v>0</v>
      </c>
      <c r="H91" s="40">
        <f t="shared" si="23"/>
        <v>0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0</v>
      </c>
      <c r="M91" s="40">
        <f t="shared" si="23"/>
        <v>0</v>
      </c>
      <c r="N91" s="40">
        <f t="shared" si="23"/>
        <v>0</v>
      </c>
      <c r="O91" s="40">
        <f t="shared" si="23"/>
        <v>0</v>
      </c>
      <c r="P91" s="40">
        <f t="shared" si="23"/>
        <v>0</v>
      </c>
      <c r="Q91" s="40">
        <f t="shared" si="23"/>
        <v>0</v>
      </c>
      <c r="R91" s="40">
        <f t="shared" si="23"/>
        <v>1035</v>
      </c>
      <c r="S91" s="40">
        <f t="shared" si="23"/>
        <v>332</v>
      </c>
      <c r="T91" s="40">
        <f t="shared" si="23"/>
        <v>0</v>
      </c>
      <c r="U91" s="40">
        <f t="shared" si="23"/>
        <v>0</v>
      </c>
      <c r="V91" s="40">
        <f t="shared" si="23"/>
        <v>1619.553</v>
      </c>
      <c r="W91" s="40">
        <f t="shared" si="23"/>
        <v>3204.844</v>
      </c>
      <c r="X91" s="40">
        <f t="shared" si="23"/>
        <v>0</v>
      </c>
      <c r="Y91" s="40">
        <f t="shared" si="23"/>
        <v>745.139</v>
      </c>
      <c r="Z91" s="40">
        <f t="shared" si="23"/>
        <v>0</v>
      </c>
      <c r="AA91" s="40">
        <f t="shared" si="23"/>
        <v>0</v>
      </c>
      <c r="AB91" s="40">
        <f t="shared" si="23"/>
        <v>0</v>
      </c>
      <c r="AC91" s="40">
        <f t="shared" si="23"/>
        <v>5624.137999999999</v>
      </c>
      <c r="AD91" s="40">
        <f t="shared" si="23"/>
        <v>2350.264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14910.938000000002</v>
      </c>
      <c r="AK91" s="36">
        <f t="shared" si="21"/>
        <v>7338.788000000002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4.8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0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1.755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1.755</v>
      </c>
      <c r="AK92" s="36">
        <f t="shared" si="21"/>
        <v>-3.045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0</v>
      </c>
      <c r="D93" s="40">
        <f t="shared" si="25"/>
        <v>0</v>
      </c>
      <c r="E93" s="40">
        <f t="shared" si="25"/>
        <v>0</v>
      </c>
      <c r="F93" s="40">
        <f t="shared" si="25"/>
        <v>0</v>
      </c>
      <c r="G93" s="40">
        <f t="shared" si="25"/>
        <v>0</v>
      </c>
      <c r="H93" s="40">
        <f t="shared" si="25"/>
        <v>0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0</v>
      </c>
      <c r="M93" s="40">
        <f t="shared" si="25"/>
        <v>0</v>
      </c>
      <c r="N93" s="40">
        <f t="shared" si="25"/>
        <v>0</v>
      </c>
      <c r="O93" s="40">
        <f t="shared" si="25"/>
        <v>0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0</v>
      </c>
      <c r="T93" s="40">
        <f t="shared" si="25"/>
        <v>0</v>
      </c>
      <c r="U93" s="40">
        <f t="shared" si="25"/>
        <v>0</v>
      </c>
      <c r="V93" s="40">
        <f t="shared" si="25"/>
        <v>0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0</v>
      </c>
      <c r="AA93" s="40">
        <f t="shared" si="25"/>
        <v>0</v>
      </c>
      <c r="AB93" s="40">
        <f t="shared" si="25"/>
        <v>0</v>
      </c>
      <c r="AC93" s="40">
        <f t="shared" si="25"/>
        <v>92.051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92.051</v>
      </c>
      <c r="AK93" s="36">
        <f t="shared" si="21"/>
        <v>92.051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727.819</v>
      </c>
      <c r="D94" s="40">
        <f t="shared" si="26"/>
        <v>0</v>
      </c>
      <c r="E94" s="40">
        <f t="shared" si="26"/>
        <v>0</v>
      </c>
      <c r="F94" s="40">
        <f t="shared" si="26"/>
        <v>0</v>
      </c>
      <c r="G94" s="40">
        <f t="shared" si="26"/>
        <v>0</v>
      </c>
      <c r="H94" s="40">
        <f t="shared" si="26"/>
        <v>0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0</v>
      </c>
      <c r="M94" s="40">
        <f t="shared" si="26"/>
        <v>0</v>
      </c>
      <c r="N94" s="40">
        <f t="shared" si="26"/>
        <v>0</v>
      </c>
      <c r="O94" s="40">
        <f t="shared" si="26"/>
        <v>0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0</v>
      </c>
      <c r="T94" s="40">
        <f t="shared" si="26"/>
        <v>0</v>
      </c>
      <c r="U94" s="40">
        <f t="shared" si="26"/>
        <v>0</v>
      </c>
      <c r="V94" s="40">
        <f t="shared" si="26"/>
        <v>0</v>
      </c>
      <c r="W94" s="40">
        <f t="shared" si="26"/>
        <v>1.813</v>
      </c>
      <c r="X94" s="40">
        <f t="shared" si="26"/>
        <v>0</v>
      </c>
      <c r="Y94" s="40">
        <f t="shared" si="26"/>
        <v>0.9119999999999999</v>
      </c>
      <c r="Z94" s="40">
        <f t="shared" si="26"/>
        <v>0</v>
      </c>
      <c r="AA94" s="40">
        <f t="shared" si="26"/>
        <v>0</v>
      </c>
      <c r="AB94" s="40">
        <f t="shared" si="26"/>
        <v>0</v>
      </c>
      <c r="AC94" s="40">
        <f t="shared" si="26"/>
        <v>58.199000000000005</v>
      </c>
      <c r="AD94" s="40">
        <f t="shared" si="26"/>
        <v>211.964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272.88800000000003</v>
      </c>
      <c r="AK94" s="36">
        <f t="shared" si="21"/>
        <v>-454.9309999999999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3177.973</v>
      </c>
      <c r="D96" s="40">
        <f t="shared" si="28"/>
        <v>0</v>
      </c>
      <c r="E96" s="40">
        <f t="shared" si="28"/>
        <v>0</v>
      </c>
      <c r="F96" s="40">
        <f t="shared" si="28"/>
        <v>0</v>
      </c>
      <c r="G96" s="40">
        <f t="shared" si="28"/>
        <v>0</v>
      </c>
      <c r="H96" s="40">
        <f t="shared" si="28"/>
        <v>0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0</v>
      </c>
      <c r="M96" s="40">
        <f t="shared" si="28"/>
        <v>0</v>
      </c>
      <c r="N96" s="40">
        <f t="shared" si="28"/>
        <v>0</v>
      </c>
      <c r="O96" s="40">
        <f t="shared" si="28"/>
        <v>0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0</v>
      </c>
      <c r="T96" s="40">
        <f t="shared" si="28"/>
        <v>0</v>
      </c>
      <c r="U96" s="40">
        <f t="shared" si="28"/>
        <v>0</v>
      </c>
      <c r="V96" s="40">
        <f t="shared" si="28"/>
        <v>1116.778</v>
      </c>
      <c r="W96" s="40">
        <f t="shared" si="28"/>
        <v>9.093</v>
      </c>
      <c r="X96" s="40">
        <f t="shared" si="28"/>
        <v>0</v>
      </c>
      <c r="Y96" s="40">
        <f t="shared" si="28"/>
        <v>11.731</v>
      </c>
      <c r="Z96" s="40">
        <f t="shared" si="28"/>
        <v>0</v>
      </c>
      <c r="AA96" s="40">
        <f t="shared" si="28"/>
        <v>0</v>
      </c>
      <c r="AB96" s="40">
        <f t="shared" si="28"/>
        <v>0</v>
      </c>
      <c r="AC96" s="40">
        <f t="shared" si="28"/>
        <v>116.952</v>
      </c>
      <c r="AD96" s="40">
        <f t="shared" si="28"/>
        <v>55.473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1310.027</v>
      </c>
      <c r="AK96" s="36">
        <f t="shared" si="21"/>
        <v>-1867.946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2499.16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0</v>
      </c>
      <c r="F97" s="40">
        <f t="shared" si="29"/>
        <v>0</v>
      </c>
      <c r="G97" s="40">
        <f t="shared" si="29"/>
        <v>0</v>
      </c>
      <c r="H97" s="40">
        <f t="shared" si="29"/>
        <v>0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0</v>
      </c>
      <c r="M97" s="40">
        <f t="shared" si="29"/>
        <v>0</v>
      </c>
      <c r="N97" s="40">
        <f t="shared" si="29"/>
        <v>0</v>
      </c>
      <c r="O97" s="40">
        <f t="shared" si="29"/>
        <v>0</v>
      </c>
      <c r="P97" s="40">
        <f t="shared" si="29"/>
        <v>0</v>
      </c>
      <c r="Q97" s="40">
        <f t="shared" si="29"/>
        <v>0</v>
      </c>
      <c r="R97" s="40">
        <f t="shared" si="29"/>
        <v>0.2</v>
      </c>
      <c r="S97" s="40">
        <f t="shared" si="29"/>
        <v>0</v>
      </c>
      <c r="T97" s="40">
        <f t="shared" si="29"/>
        <v>0</v>
      </c>
      <c r="U97" s="40">
        <f t="shared" si="29"/>
        <v>0</v>
      </c>
      <c r="V97" s="40">
        <f t="shared" si="29"/>
        <v>5.64</v>
      </c>
      <c r="W97" s="40">
        <f t="shared" si="29"/>
        <v>3.9219999999999997</v>
      </c>
      <c r="X97" s="40">
        <f t="shared" si="29"/>
        <v>0</v>
      </c>
      <c r="Y97" s="40">
        <f t="shared" si="29"/>
        <v>50.886</v>
      </c>
      <c r="Z97" s="40">
        <f t="shared" si="29"/>
        <v>0</v>
      </c>
      <c r="AA97" s="40">
        <f t="shared" si="29"/>
        <v>0</v>
      </c>
      <c r="AB97" s="40">
        <f t="shared" si="29"/>
        <v>0</v>
      </c>
      <c r="AC97" s="40">
        <f t="shared" si="29"/>
        <v>932.444</v>
      </c>
      <c r="AD97" s="40">
        <f t="shared" si="29"/>
        <v>38.104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1031.196</v>
      </c>
      <c r="AK97" s="36">
        <f t="shared" si="21"/>
        <v>-1467.964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82"/>
  <sheetViews>
    <sheetView zoomScale="75" zoomScaleNormal="75" zoomScaleSheetLayoutView="70" zoomScalePageLayoutView="0" workbookViewId="0" topLeftCell="B1">
      <pane xSplit="2" ySplit="5" topLeftCell="T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K22" sqref="AK22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8.00390625" style="5" customWidth="1"/>
    <col min="7" max="7" width="8.57421875" style="5" customWidth="1"/>
    <col min="8" max="8" width="8.00390625" style="5" customWidth="1"/>
    <col min="9" max="9" width="3.8515625" style="5" customWidth="1"/>
    <col min="10" max="10" width="4.140625" style="5" customWidth="1"/>
    <col min="11" max="12" width="7.140625" style="5" customWidth="1"/>
    <col min="13" max="13" width="8.7109375" style="57" customWidth="1"/>
    <col min="14" max="14" width="7.7109375" style="5" customWidth="1"/>
    <col min="15" max="15" width="7.421875" style="5" customWidth="1"/>
    <col min="16" max="16" width="3.140625" style="5" customWidth="1"/>
    <col min="17" max="17" width="3.57421875" style="5" customWidth="1"/>
    <col min="18" max="18" width="8.8515625" style="5" customWidth="1"/>
    <col min="19" max="19" width="7.7109375" style="5" customWidth="1"/>
    <col min="20" max="20" width="8.00390625" style="5" customWidth="1"/>
    <col min="21" max="21" width="8.28125" style="5" customWidth="1"/>
    <col min="22" max="22" width="8.421875" style="5" customWidth="1"/>
    <col min="23" max="23" width="4.57421875" style="5" customWidth="1"/>
    <col min="24" max="24" width="4.28125" style="5" customWidth="1"/>
    <col min="25" max="25" width="8.57421875" style="5" customWidth="1"/>
    <col min="26" max="27" width="8.140625" style="5" customWidth="1"/>
    <col min="28" max="28" width="7.421875" style="5" customWidth="1"/>
    <col min="29" max="29" width="8.00390625" style="5" customWidth="1"/>
    <col min="30" max="30" width="4.00390625" style="5" customWidth="1"/>
    <col min="31" max="31" width="3.8515625" style="5" customWidth="1"/>
    <col min="32" max="32" width="4.14062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0" t="s">
        <v>71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6958.4</v>
      </c>
      <c r="D7" s="79">
        <v>3479.2</v>
      </c>
      <c r="E7" s="19"/>
      <c r="F7" s="16"/>
      <c r="G7" s="16"/>
      <c r="H7" s="16"/>
      <c r="I7" s="16"/>
      <c r="J7" s="16"/>
      <c r="K7" s="16"/>
      <c r="L7" s="16"/>
      <c r="M7" s="44"/>
      <c r="N7" s="20">
        <v>3479.2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25858.269999999997</v>
      </c>
      <c r="D8" s="22">
        <f aca="true" t="shared" si="0" ref="D8:AH8">SUM(D9:D16)</f>
        <v>2442.5550000000003</v>
      </c>
      <c r="E8" s="22">
        <f t="shared" si="0"/>
        <v>485.2200000000001</v>
      </c>
      <c r="F8" s="22">
        <f t="shared" si="0"/>
        <v>515.369</v>
      </c>
      <c r="G8" s="22">
        <f t="shared" si="0"/>
        <v>1694.2959999999998</v>
      </c>
      <c r="H8" s="22">
        <f t="shared" si="0"/>
        <v>3201.48</v>
      </c>
      <c r="I8" s="22">
        <f t="shared" si="0"/>
        <v>0</v>
      </c>
      <c r="J8" s="22">
        <f t="shared" si="0"/>
        <v>0</v>
      </c>
      <c r="K8" s="22">
        <f t="shared" si="0"/>
        <v>1078.039</v>
      </c>
      <c r="L8" s="22">
        <f t="shared" si="0"/>
        <v>666.709</v>
      </c>
      <c r="M8" s="22">
        <f>SUM(M9:M16)</f>
        <v>1067.745</v>
      </c>
      <c r="N8" s="22">
        <f t="shared" si="0"/>
        <v>1248.3919999999998</v>
      </c>
      <c r="O8" s="22">
        <f>SUM(O9:O16)</f>
        <v>1110.904</v>
      </c>
      <c r="P8" s="22">
        <f t="shared" si="0"/>
        <v>0</v>
      </c>
      <c r="Q8" s="22">
        <f t="shared" si="0"/>
        <v>0</v>
      </c>
      <c r="R8" s="22">
        <f t="shared" si="0"/>
        <v>1338.9950000000001</v>
      </c>
      <c r="S8" s="22">
        <f t="shared" si="0"/>
        <v>1005.866</v>
      </c>
      <c r="T8" s="22">
        <f t="shared" si="0"/>
        <v>1078.181</v>
      </c>
      <c r="U8" s="22">
        <f>SUM(U9:U16)</f>
        <v>54.28199999999994</v>
      </c>
      <c r="V8" s="22">
        <f>SUM(V9:V16)</f>
        <v>1315.3639999999998</v>
      </c>
      <c r="W8" s="22">
        <f>SUM(W9:W16)</f>
        <v>0</v>
      </c>
      <c r="X8" s="22">
        <f t="shared" si="0"/>
        <v>0</v>
      </c>
      <c r="Y8" s="22">
        <f t="shared" si="0"/>
        <v>1023.715</v>
      </c>
      <c r="Z8" s="22">
        <f t="shared" si="0"/>
        <v>923.264</v>
      </c>
      <c r="AA8" s="22">
        <f t="shared" si="0"/>
        <v>1156.313</v>
      </c>
      <c r="AB8" s="22">
        <f t="shared" si="0"/>
        <v>2276.048</v>
      </c>
      <c r="AC8" s="22">
        <f t="shared" si="0"/>
        <v>2175.5330000000004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13980.622</v>
      </c>
      <c r="D9" s="71">
        <v>152.707</v>
      </c>
      <c r="E9" s="24">
        <v>387.451</v>
      </c>
      <c r="F9" s="20">
        <v>323.131</v>
      </c>
      <c r="G9" s="20">
        <v>1418.204</v>
      </c>
      <c r="H9" s="20">
        <v>2980.365</v>
      </c>
      <c r="I9" s="20"/>
      <c r="J9" s="20"/>
      <c r="K9" s="20">
        <v>270.914</v>
      </c>
      <c r="L9" s="20">
        <v>367.924</v>
      </c>
      <c r="M9" s="20">
        <v>906.724</v>
      </c>
      <c r="N9" s="20">
        <v>1051.185</v>
      </c>
      <c r="O9" s="20">
        <v>919.253</v>
      </c>
      <c r="P9" s="20"/>
      <c r="Q9" s="20"/>
      <c r="R9" s="20">
        <v>423.846</v>
      </c>
      <c r="S9" s="20">
        <v>200.06</v>
      </c>
      <c r="T9" s="20">
        <v>395.468</v>
      </c>
      <c r="U9" s="20">
        <v>-480.244</v>
      </c>
      <c r="V9" s="20">
        <v>704.511</v>
      </c>
      <c r="W9" s="20"/>
      <c r="X9" s="20"/>
      <c r="Y9" s="20">
        <v>827.713</v>
      </c>
      <c r="Z9" s="25">
        <v>408.797</v>
      </c>
      <c r="AA9" s="25">
        <v>600.431</v>
      </c>
      <c r="AB9" s="20">
        <v>1016.88</v>
      </c>
      <c r="AC9" s="25">
        <v>1105.302</v>
      </c>
      <c r="AD9" s="20"/>
      <c r="AE9" s="20"/>
      <c r="AF9" s="20"/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0.857</v>
      </c>
      <c r="D10" s="71">
        <v>0</v>
      </c>
      <c r="E10" s="24">
        <v>0</v>
      </c>
      <c r="F10" s="20">
        <v>0</v>
      </c>
      <c r="G10" s="20">
        <v>0</v>
      </c>
      <c r="H10" s="20">
        <v>0</v>
      </c>
      <c r="I10" s="20"/>
      <c r="J10" s="20"/>
      <c r="K10" s="20">
        <v>0</v>
      </c>
      <c r="L10" s="20">
        <v>0</v>
      </c>
      <c r="M10" s="20">
        <v>0</v>
      </c>
      <c r="N10" s="20">
        <v>0</v>
      </c>
      <c r="O10" s="20">
        <v>0.692</v>
      </c>
      <c r="P10" s="20"/>
      <c r="Q10" s="20"/>
      <c r="R10" s="20">
        <v>0.165</v>
      </c>
      <c r="S10" s="20">
        <v>0</v>
      </c>
      <c r="T10" s="20">
        <v>0</v>
      </c>
      <c r="U10" s="20">
        <v>0</v>
      </c>
      <c r="V10" s="20">
        <v>0</v>
      </c>
      <c r="W10" s="20"/>
      <c r="X10" s="20"/>
      <c r="Y10" s="20">
        <v>0</v>
      </c>
      <c r="Z10" s="25">
        <v>0</v>
      </c>
      <c r="AA10" s="25">
        <v>0</v>
      </c>
      <c r="AB10" s="20">
        <v>0</v>
      </c>
      <c r="AC10" s="25">
        <v>0</v>
      </c>
      <c r="AD10" s="20"/>
      <c r="AE10" s="20"/>
      <c r="AF10" s="20"/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477.03</v>
      </c>
      <c r="D11" s="71">
        <v>0.891</v>
      </c>
      <c r="E11" s="24">
        <v>0</v>
      </c>
      <c r="F11" s="20">
        <v>0</v>
      </c>
      <c r="G11" s="20">
        <v>0.053</v>
      </c>
      <c r="H11" s="20">
        <v>0.843</v>
      </c>
      <c r="I11" s="20"/>
      <c r="J11" s="20"/>
      <c r="K11" s="20">
        <v>2.345</v>
      </c>
      <c r="L11" s="20">
        <v>0</v>
      </c>
      <c r="M11" s="20">
        <v>0.381</v>
      </c>
      <c r="N11" s="20">
        <v>1.024</v>
      </c>
      <c r="O11" s="20">
        <v>0.6</v>
      </c>
      <c r="P11" s="20"/>
      <c r="Q11" s="20"/>
      <c r="R11" s="20">
        <v>8.487</v>
      </c>
      <c r="S11" s="20">
        <v>6.819</v>
      </c>
      <c r="T11" s="20">
        <v>5.673</v>
      </c>
      <c r="U11" s="20">
        <v>4.378</v>
      </c>
      <c r="V11" s="20">
        <v>98.07</v>
      </c>
      <c r="W11" s="20"/>
      <c r="X11" s="20"/>
      <c r="Y11" s="20">
        <v>10.374</v>
      </c>
      <c r="Z11" s="25">
        <v>24.547</v>
      </c>
      <c r="AA11" s="25">
        <v>138.19</v>
      </c>
      <c r="AB11" s="20">
        <v>70.906</v>
      </c>
      <c r="AC11" s="25">
        <v>103.449</v>
      </c>
      <c r="AD11" s="20"/>
      <c r="AE11" s="20"/>
      <c r="AF11" s="20"/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1818.5040000000001</v>
      </c>
      <c r="D12" s="71">
        <v>1671.487</v>
      </c>
      <c r="E12" s="24">
        <v>1.853</v>
      </c>
      <c r="F12" s="20">
        <v>1</v>
      </c>
      <c r="G12" s="20">
        <v>0</v>
      </c>
      <c r="H12" s="20">
        <v>1.864</v>
      </c>
      <c r="I12" s="20"/>
      <c r="J12" s="20"/>
      <c r="K12" s="20">
        <v>20.624</v>
      </c>
      <c r="L12" s="20">
        <v>7.95</v>
      </c>
      <c r="M12" s="20">
        <v>0.074</v>
      </c>
      <c r="N12" s="20">
        <v>0.1</v>
      </c>
      <c r="O12" s="20">
        <v>0</v>
      </c>
      <c r="P12" s="20"/>
      <c r="Q12" s="20"/>
      <c r="R12" s="20">
        <v>0</v>
      </c>
      <c r="S12" s="20">
        <v>14.464</v>
      </c>
      <c r="T12" s="20">
        <v>44.48</v>
      </c>
      <c r="U12" s="20">
        <v>0.155</v>
      </c>
      <c r="V12" s="20">
        <v>7.13</v>
      </c>
      <c r="W12" s="20"/>
      <c r="X12" s="20"/>
      <c r="Y12" s="20">
        <v>0</v>
      </c>
      <c r="Z12" s="25">
        <v>3.864</v>
      </c>
      <c r="AA12" s="25">
        <v>15.051</v>
      </c>
      <c r="AB12" s="20">
        <v>0</v>
      </c>
      <c r="AC12" s="25">
        <v>28.408</v>
      </c>
      <c r="AD12" s="20"/>
      <c r="AE12" s="20"/>
      <c r="AF12" s="20"/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4436.478</v>
      </c>
      <c r="D13" s="71">
        <v>402.474</v>
      </c>
      <c r="E13" s="24">
        <v>7.752</v>
      </c>
      <c r="F13" s="20">
        <v>80.956</v>
      </c>
      <c r="G13" s="20">
        <v>75.774</v>
      </c>
      <c r="H13" s="20">
        <v>16.522</v>
      </c>
      <c r="I13" s="20"/>
      <c r="J13" s="20"/>
      <c r="K13" s="20">
        <v>259.715</v>
      </c>
      <c r="L13" s="20">
        <v>124.179</v>
      </c>
      <c r="M13" s="20">
        <v>-76.883</v>
      </c>
      <c r="N13" s="20">
        <v>89.169</v>
      </c>
      <c r="O13" s="20">
        <v>22.044</v>
      </c>
      <c r="P13" s="20"/>
      <c r="Q13" s="20"/>
      <c r="R13" s="20">
        <v>46.88</v>
      </c>
      <c r="S13" s="20">
        <v>143.928</v>
      </c>
      <c r="T13" s="20">
        <v>90.27</v>
      </c>
      <c r="U13" s="20">
        <v>80.041</v>
      </c>
      <c r="V13" s="20">
        <v>163.095</v>
      </c>
      <c r="W13" s="20"/>
      <c r="X13" s="20"/>
      <c r="Y13" s="20">
        <v>132.462</v>
      </c>
      <c r="Z13" s="25">
        <v>426.181</v>
      </c>
      <c r="AA13" s="25">
        <v>378.169</v>
      </c>
      <c r="AB13" s="20">
        <v>1116.878</v>
      </c>
      <c r="AC13" s="20">
        <v>856.872</v>
      </c>
      <c r="AD13" s="20"/>
      <c r="AE13" s="20"/>
      <c r="AF13" s="20"/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4583.405</v>
      </c>
      <c r="D14" s="71">
        <v>166.386</v>
      </c>
      <c r="E14" s="24">
        <v>76.843</v>
      </c>
      <c r="F14" s="20">
        <v>88.596</v>
      </c>
      <c r="G14" s="20">
        <v>156.588</v>
      </c>
      <c r="H14" s="20">
        <v>181.753</v>
      </c>
      <c r="I14" s="20"/>
      <c r="J14" s="20"/>
      <c r="K14" s="20">
        <v>507.769</v>
      </c>
      <c r="L14" s="20">
        <v>154.697</v>
      </c>
      <c r="M14" s="20">
        <v>219.843</v>
      </c>
      <c r="N14" s="20">
        <v>92.595</v>
      </c>
      <c r="O14" s="20">
        <v>142.21</v>
      </c>
      <c r="P14" s="20"/>
      <c r="Q14" s="20"/>
      <c r="R14" s="20">
        <v>827.73</v>
      </c>
      <c r="S14" s="20">
        <v>579.939</v>
      </c>
      <c r="T14" s="20">
        <v>513.866</v>
      </c>
      <c r="U14" s="20">
        <v>404.908</v>
      </c>
      <c r="V14" s="20">
        <v>327.454</v>
      </c>
      <c r="W14" s="20"/>
      <c r="X14" s="20"/>
      <c r="Y14" s="20">
        <v>45.04</v>
      </c>
      <c r="Z14" s="25">
        <v>30.983</v>
      </c>
      <c r="AA14" s="25">
        <v>11.34</v>
      </c>
      <c r="AB14" s="20">
        <v>10.268</v>
      </c>
      <c r="AC14" s="25">
        <v>44.597</v>
      </c>
      <c r="AD14" s="20"/>
      <c r="AE14" s="20"/>
      <c r="AF14" s="20"/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154.271</v>
      </c>
      <c r="D15" s="71">
        <v>8.21</v>
      </c>
      <c r="E15" s="24">
        <v>7.939</v>
      </c>
      <c r="F15" s="20">
        <v>9.809</v>
      </c>
      <c r="G15" s="20">
        <v>7.856</v>
      </c>
      <c r="H15" s="20">
        <v>9.333</v>
      </c>
      <c r="I15" s="20"/>
      <c r="J15" s="20"/>
      <c r="K15" s="20">
        <v>6.772</v>
      </c>
      <c r="L15" s="20">
        <v>7.935</v>
      </c>
      <c r="M15" s="20">
        <v>7.906</v>
      </c>
      <c r="N15" s="20">
        <v>8.81</v>
      </c>
      <c r="O15" s="20">
        <v>7.724</v>
      </c>
      <c r="P15" s="20"/>
      <c r="Q15" s="20"/>
      <c r="R15" s="20">
        <v>5.106</v>
      </c>
      <c r="S15" s="20">
        <v>8.046</v>
      </c>
      <c r="T15" s="20">
        <v>7.841</v>
      </c>
      <c r="U15" s="20">
        <v>6.635</v>
      </c>
      <c r="V15" s="20">
        <v>6.504</v>
      </c>
      <c r="W15" s="20"/>
      <c r="X15" s="20"/>
      <c r="Y15" s="20">
        <v>8.526</v>
      </c>
      <c r="Z15" s="25">
        <v>6.692</v>
      </c>
      <c r="AA15" s="25">
        <v>7.646</v>
      </c>
      <c r="AB15" s="20">
        <v>8.367</v>
      </c>
      <c r="AC15" s="25">
        <v>6.614</v>
      </c>
      <c r="AD15" s="20"/>
      <c r="AE15" s="20"/>
      <c r="AF15" s="20"/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407.10300000000007</v>
      </c>
      <c r="D16" s="71">
        <v>40.4</v>
      </c>
      <c r="E16" s="24">
        <v>3.382</v>
      </c>
      <c r="F16" s="20">
        <v>11.877</v>
      </c>
      <c r="G16" s="20">
        <v>35.821</v>
      </c>
      <c r="H16" s="20">
        <v>10.8</v>
      </c>
      <c r="I16" s="20"/>
      <c r="J16" s="20"/>
      <c r="K16" s="20">
        <v>9.9</v>
      </c>
      <c r="L16" s="20">
        <v>4.024</v>
      </c>
      <c r="M16" s="20">
        <v>9.7</v>
      </c>
      <c r="N16" s="20">
        <v>5.509</v>
      </c>
      <c r="O16" s="20">
        <v>18.381</v>
      </c>
      <c r="P16" s="20"/>
      <c r="Q16" s="20"/>
      <c r="R16" s="20">
        <v>26.781</v>
      </c>
      <c r="S16" s="20">
        <v>52.61</v>
      </c>
      <c r="T16" s="20">
        <v>20.583</v>
      </c>
      <c r="U16" s="20">
        <v>38.409</v>
      </c>
      <c r="V16" s="20">
        <v>8.6</v>
      </c>
      <c r="W16" s="20"/>
      <c r="X16" s="20"/>
      <c r="Y16" s="20">
        <v>-0.4</v>
      </c>
      <c r="Z16" s="25">
        <v>22.2</v>
      </c>
      <c r="AA16" s="25">
        <v>5.486</v>
      </c>
      <c r="AB16" s="20">
        <v>52.749</v>
      </c>
      <c r="AC16" s="25">
        <v>30.291</v>
      </c>
      <c r="AD16" s="20"/>
      <c r="AE16" s="20"/>
      <c r="AF16" s="20"/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32816.67</v>
      </c>
      <c r="D17" s="33">
        <f>SUM(D6:D8)</f>
        <v>5921.755</v>
      </c>
      <c r="E17" s="33">
        <f aca="true" t="shared" si="2" ref="E17:AH17">SUM(E6:E8)</f>
        <v>485.2200000000001</v>
      </c>
      <c r="F17" s="33">
        <f t="shared" si="2"/>
        <v>515.369</v>
      </c>
      <c r="G17" s="33">
        <f t="shared" si="2"/>
        <v>1694.2959999999998</v>
      </c>
      <c r="H17" s="33">
        <f t="shared" si="2"/>
        <v>3201.48</v>
      </c>
      <c r="I17" s="33">
        <f t="shared" si="2"/>
        <v>0</v>
      </c>
      <c r="J17" s="33">
        <f t="shared" si="2"/>
        <v>0</v>
      </c>
      <c r="K17" s="33">
        <f t="shared" si="2"/>
        <v>1078.039</v>
      </c>
      <c r="L17" s="33">
        <f t="shared" si="2"/>
        <v>666.709</v>
      </c>
      <c r="M17" s="33">
        <f t="shared" si="2"/>
        <v>1067.745</v>
      </c>
      <c r="N17" s="33">
        <f t="shared" si="2"/>
        <v>4727.592</v>
      </c>
      <c r="O17" s="33">
        <f t="shared" si="2"/>
        <v>1110.904</v>
      </c>
      <c r="P17" s="33">
        <f t="shared" si="2"/>
        <v>0</v>
      </c>
      <c r="Q17" s="33">
        <f t="shared" si="2"/>
        <v>0</v>
      </c>
      <c r="R17" s="33">
        <f t="shared" si="2"/>
        <v>1338.9950000000001</v>
      </c>
      <c r="S17" s="33">
        <f t="shared" si="2"/>
        <v>1005.866</v>
      </c>
      <c r="T17" s="33">
        <f t="shared" si="2"/>
        <v>1078.181</v>
      </c>
      <c r="U17" s="33">
        <f t="shared" si="2"/>
        <v>54.28199999999994</v>
      </c>
      <c r="V17" s="33">
        <f t="shared" si="2"/>
        <v>1315.3639999999998</v>
      </c>
      <c r="W17" s="33">
        <f t="shared" si="2"/>
        <v>0</v>
      </c>
      <c r="X17" s="33">
        <f t="shared" si="2"/>
        <v>0</v>
      </c>
      <c r="Y17" s="33">
        <f t="shared" si="2"/>
        <v>1023.715</v>
      </c>
      <c r="Z17" s="33">
        <f t="shared" si="2"/>
        <v>923.264</v>
      </c>
      <c r="AA17" s="33">
        <f t="shared" si="2"/>
        <v>1156.313</v>
      </c>
      <c r="AB17" s="33">
        <f t="shared" si="2"/>
        <v>2276.048</v>
      </c>
      <c r="AC17" s="33">
        <f t="shared" si="2"/>
        <v>2175.5330000000004</v>
      </c>
      <c r="AD17" s="33">
        <f t="shared" si="2"/>
        <v>0</v>
      </c>
      <c r="AE17" s="33">
        <f>SUM(AF6:AF8)</f>
        <v>0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50929.169999999984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3319.402</v>
      </c>
      <c r="F18" s="35">
        <f t="shared" si="3"/>
        <v>2690.67</v>
      </c>
      <c r="G18" s="35">
        <f t="shared" si="3"/>
        <v>0</v>
      </c>
      <c r="H18" s="35">
        <f t="shared" si="3"/>
        <v>2063.0650000000005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956.818</v>
      </c>
      <c r="M18" s="35">
        <f t="shared" si="3"/>
        <v>2744.3279999999995</v>
      </c>
      <c r="N18" s="35">
        <f t="shared" si="3"/>
        <v>0</v>
      </c>
      <c r="O18" s="35">
        <f t="shared" si="3"/>
        <v>3830.649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3740.4770000000003</v>
      </c>
      <c r="T18" s="35">
        <f t="shared" si="3"/>
        <v>2032.12</v>
      </c>
      <c r="U18" s="35">
        <f t="shared" si="3"/>
        <v>0</v>
      </c>
      <c r="V18" s="35">
        <f t="shared" si="3"/>
        <v>1113.629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5756.023</v>
      </c>
      <c r="AA18" s="35">
        <f t="shared" si="3"/>
        <v>3442.2180000000008</v>
      </c>
      <c r="AB18" s="35">
        <f t="shared" si="3"/>
        <v>24.055</v>
      </c>
      <c r="AC18" s="35">
        <f t="shared" si="3"/>
        <v>0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31713.454000000005</v>
      </c>
      <c r="AK18" s="36">
        <f aca="true" t="shared" si="4" ref="AK18:AK85">AJ18-C18</f>
        <v>-19215.71599999998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6010.18</v>
      </c>
      <c r="D19" s="38">
        <f t="shared" si="5"/>
        <v>0</v>
      </c>
      <c r="E19" s="38">
        <f t="shared" si="5"/>
        <v>88.739</v>
      </c>
      <c r="F19" s="38">
        <f t="shared" si="5"/>
        <v>23.678</v>
      </c>
      <c r="G19" s="38">
        <f t="shared" si="5"/>
        <v>0</v>
      </c>
      <c r="H19" s="38">
        <f t="shared" si="5"/>
        <v>70.836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5.4190000000000005</v>
      </c>
      <c r="M19" s="38">
        <f t="shared" si="5"/>
        <v>613.392</v>
      </c>
      <c r="N19" s="38">
        <f t="shared" si="5"/>
        <v>0</v>
      </c>
      <c r="O19" s="38">
        <f t="shared" si="5"/>
        <v>932.5920000000001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25.877999999999997</v>
      </c>
      <c r="T19" s="38">
        <f t="shared" si="5"/>
        <v>70.761</v>
      </c>
      <c r="U19" s="38">
        <f t="shared" si="5"/>
        <v>0</v>
      </c>
      <c r="V19" s="38">
        <f t="shared" si="5"/>
        <v>3.8070000000000004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521.723</v>
      </c>
      <c r="AA19" s="38">
        <f t="shared" si="5"/>
        <v>2433.9070000000006</v>
      </c>
      <c r="AB19" s="38">
        <f t="shared" si="5"/>
        <v>0</v>
      </c>
      <c r="AC19" s="38">
        <f t="shared" si="5"/>
        <v>0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4790.732</v>
      </c>
      <c r="AK19" s="36">
        <f t="shared" si="4"/>
        <v>-1219.4480000000003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4844.136</v>
      </c>
      <c r="D20" s="40"/>
      <c r="E20" s="16"/>
      <c r="F20" s="16"/>
      <c r="G20" s="16"/>
      <c r="H20" s="16">
        <v>41.974</v>
      </c>
      <c r="I20" s="16"/>
      <c r="J20" s="16"/>
      <c r="K20" s="16"/>
      <c r="L20" s="16"/>
      <c r="M20" s="16">
        <f>69.498+249.2+16.73+17.6+247.542</f>
        <v>600.57</v>
      </c>
      <c r="N20" s="20"/>
      <c r="O20" s="16">
        <v>930.85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506.217</v>
      </c>
      <c r="AA20" s="16">
        <v>2424.684</v>
      </c>
      <c r="AB20" s="16"/>
      <c r="AC20" s="16"/>
      <c r="AD20" s="20"/>
      <c r="AE20" s="20"/>
      <c r="AF20" s="20"/>
      <c r="AG20" s="20"/>
      <c r="AH20" s="16"/>
      <c r="AI20" s="16"/>
      <c r="AJ20" s="16">
        <f>SUM(D20:AI20)</f>
        <v>4504.295</v>
      </c>
      <c r="AK20" s="36">
        <f t="shared" si="4"/>
        <v>-339.84100000000035</v>
      </c>
      <c r="AL20" s="7"/>
      <c r="AM20" s="59" t="s">
        <v>18</v>
      </c>
      <c r="AN20" s="60">
        <f>AJ19</f>
        <v>4790.732</v>
      </c>
      <c r="AO20" s="77"/>
      <c r="AP20" s="8"/>
    </row>
    <row r="21" spans="2:42" ht="15.75">
      <c r="B21" s="39" t="s">
        <v>19</v>
      </c>
      <c r="C21" s="40">
        <v>342.962</v>
      </c>
      <c r="D21" s="40"/>
      <c r="E21" s="16">
        <v>18.546</v>
      </c>
      <c r="F21" s="16">
        <v>11.756</v>
      </c>
      <c r="G21" s="16"/>
      <c r="H21" s="16">
        <v>0.072</v>
      </c>
      <c r="I21" s="16"/>
      <c r="J21" s="16"/>
      <c r="K21" s="16"/>
      <c r="L21" s="16"/>
      <c r="M21" s="16"/>
      <c r="N21" s="20"/>
      <c r="O21" s="16">
        <v>0.772</v>
      </c>
      <c r="P21" s="16"/>
      <c r="Q21" s="16"/>
      <c r="R21" s="16"/>
      <c r="S21" s="16">
        <v>0.025</v>
      </c>
      <c r="T21" s="16">
        <f>0.37+0.072</f>
        <v>0.442</v>
      </c>
      <c r="U21" s="16"/>
      <c r="V21" s="16"/>
      <c r="W21" s="16"/>
      <c r="X21" s="16"/>
      <c r="Y21" s="16"/>
      <c r="Z21" s="16">
        <v>3.757</v>
      </c>
      <c r="AA21" s="16">
        <v>7.963</v>
      </c>
      <c r="AB21" s="16"/>
      <c r="AC21" s="16"/>
      <c r="AD21" s="20"/>
      <c r="AE21" s="20"/>
      <c r="AF21" s="20"/>
      <c r="AG21" s="20"/>
      <c r="AH21" s="16"/>
      <c r="AI21" s="16"/>
      <c r="AJ21" s="16">
        <f>SUM(D21:AI21)</f>
        <v>43.333</v>
      </c>
      <c r="AK21" s="36">
        <f t="shared" si="4"/>
        <v>-299.629</v>
      </c>
      <c r="AL21" s="7"/>
      <c r="AM21" s="59" t="s">
        <v>20</v>
      </c>
      <c r="AN21" s="60">
        <f>AJ25</f>
        <v>19576.006</v>
      </c>
      <c r="AO21" s="77"/>
      <c r="AP21" s="8"/>
    </row>
    <row r="22" spans="2:42" ht="15.75">
      <c r="B22" s="39" t="s">
        <v>21</v>
      </c>
      <c r="C22" s="40">
        <v>823.082</v>
      </c>
      <c r="D22" s="40"/>
      <c r="E22" s="16">
        <f>0.5+69.693</f>
        <v>70.193</v>
      </c>
      <c r="F22" s="16">
        <v>11.922</v>
      </c>
      <c r="G22" s="16"/>
      <c r="H22" s="16">
        <f>21.91+6.88</f>
        <v>28.79</v>
      </c>
      <c r="I22" s="16"/>
      <c r="J22" s="16"/>
      <c r="K22" s="16"/>
      <c r="L22" s="16">
        <f>1.134+4.285</f>
        <v>5.4190000000000005</v>
      </c>
      <c r="M22" s="16">
        <v>12.822</v>
      </c>
      <c r="N22" s="16"/>
      <c r="O22" s="16">
        <v>0.97</v>
      </c>
      <c r="P22" s="16"/>
      <c r="Q22" s="16"/>
      <c r="R22" s="16"/>
      <c r="S22" s="16">
        <f>25.781+0.072</f>
        <v>25.852999999999998</v>
      </c>
      <c r="T22" s="16">
        <f>55.954+5.166+9.199</f>
        <v>70.319</v>
      </c>
      <c r="U22" s="16"/>
      <c r="V22" s="16">
        <f>1.2+2.607</f>
        <v>3.8070000000000004</v>
      </c>
      <c r="W22" s="16"/>
      <c r="X22" s="16"/>
      <c r="Y22" s="16"/>
      <c r="Z22" s="16">
        <v>11.749</v>
      </c>
      <c r="AA22" s="16">
        <v>1.26</v>
      </c>
      <c r="AB22" s="16"/>
      <c r="AC22" s="16"/>
      <c r="AD22" s="16"/>
      <c r="AE22" s="16"/>
      <c r="AF22" s="16"/>
      <c r="AG22" s="16"/>
      <c r="AH22" s="16"/>
      <c r="AI22" s="16"/>
      <c r="AJ22" s="16">
        <f>SUM(D22:AI22)</f>
        <v>243.10399999999998</v>
      </c>
      <c r="AK22" s="36">
        <f t="shared" si="4"/>
        <v>-579.9780000000001</v>
      </c>
      <c r="AL22" s="7"/>
      <c r="AM22" s="59" t="s">
        <v>22</v>
      </c>
      <c r="AN22" s="60">
        <f>$AJ$31+$AJ$33</f>
        <v>632.6859999999999</v>
      </c>
      <c r="AO22" s="77"/>
      <c r="AP22" s="8"/>
    </row>
    <row r="23" spans="2:42" ht="34.5" customHeight="1">
      <c r="B23" s="37" t="s">
        <v>69</v>
      </c>
      <c r="C23" s="70">
        <f>SUM(C24)</f>
        <v>2444.057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22.828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5.544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24.055</v>
      </c>
      <c r="AC23" s="70">
        <f t="shared" si="6"/>
        <v>0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52.427</v>
      </c>
      <c r="AK23" s="36">
        <f t="shared" si="4"/>
        <v>-2391.6299999999997</v>
      </c>
      <c r="AL23" s="7"/>
      <c r="AM23" s="59" t="s">
        <v>23</v>
      </c>
      <c r="AN23" s="60">
        <f>$AJ$34+$AJ$35+$AJ$38+$AJ$43+$AJ$47+$AJ$37+$AJ$36</f>
        <v>1627.7369999999999</v>
      </c>
      <c r="AO23" s="77"/>
      <c r="AP23" s="8"/>
    </row>
    <row r="24" spans="2:42" ht="15" customHeight="1">
      <c r="B24" s="39" t="s">
        <v>21</v>
      </c>
      <c r="C24" s="40">
        <v>2444.057</v>
      </c>
      <c r="D24" s="40"/>
      <c r="E24" s="44"/>
      <c r="F24" s="44">
        <v>22.828</v>
      </c>
      <c r="G24" s="44">
        <v>0</v>
      </c>
      <c r="H24" s="44"/>
      <c r="I24" s="44"/>
      <c r="J24" s="44"/>
      <c r="K24" s="44"/>
      <c r="L24" s="44"/>
      <c r="M24" s="44"/>
      <c r="N24" s="44"/>
      <c r="O24" s="44">
        <v>5.544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>
        <v>24.055</v>
      </c>
      <c r="AC24" s="44"/>
      <c r="AD24" s="44"/>
      <c r="AE24" s="44"/>
      <c r="AF24" s="44"/>
      <c r="AG24" s="44"/>
      <c r="AH24" s="44"/>
      <c r="AI24" s="44"/>
      <c r="AJ24" s="40">
        <f>SUM(D24:AH24)</f>
        <v>52.427</v>
      </c>
      <c r="AK24" s="36"/>
      <c r="AL24" s="7"/>
      <c r="AM24" s="59" t="s">
        <v>24</v>
      </c>
      <c r="AN24" s="60">
        <f>$AJ$68+$AJ$71+$AJ$79+$AJ$64+$AJ$66</f>
        <v>1895.426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30843.658999999996</v>
      </c>
      <c r="D25" s="38">
        <f t="shared" si="7"/>
        <v>0</v>
      </c>
      <c r="E25" s="38">
        <f t="shared" si="7"/>
        <v>3195.949</v>
      </c>
      <c r="F25" s="38">
        <f t="shared" si="7"/>
        <v>2028.105</v>
      </c>
      <c r="G25" s="38">
        <f t="shared" si="7"/>
        <v>0</v>
      </c>
      <c r="H25" s="38">
        <f t="shared" si="7"/>
        <v>1858.1930000000002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823.772</v>
      </c>
      <c r="M25" s="38">
        <f t="shared" si="7"/>
        <v>1056.252</v>
      </c>
      <c r="N25" s="38">
        <f t="shared" si="7"/>
        <v>0</v>
      </c>
      <c r="O25" s="38">
        <f t="shared" si="7"/>
        <v>1655.447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3608.125</v>
      </c>
      <c r="T25" s="38">
        <f t="shared" si="7"/>
        <v>850.4369999999999</v>
      </c>
      <c r="U25" s="38">
        <f t="shared" si="7"/>
        <v>0</v>
      </c>
      <c r="V25" s="38">
        <f t="shared" si="7"/>
        <v>407.677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3701.276</v>
      </c>
      <c r="AA25" s="38">
        <f t="shared" si="7"/>
        <v>390.773</v>
      </c>
      <c r="AB25" s="38">
        <f t="shared" si="7"/>
        <v>0</v>
      </c>
      <c r="AC25" s="38">
        <f t="shared" si="7"/>
        <v>0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19576.006</v>
      </c>
      <c r="AK25" s="36">
        <f t="shared" si="4"/>
        <v>-11267.652999999995</v>
      </c>
      <c r="AL25" s="2"/>
      <c r="AM25" s="59" t="s">
        <v>26</v>
      </c>
      <c r="AN25" s="60">
        <f>$AJ$54</f>
        <v>1229.347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>
        <v>21187.003</v>
      </c>
      <c r="D26" s="40"/>
      <c r="E26" s="16">
        <f>995.377+2148.735</f>
        <v>3144.112</v>
      </c>
      <c r="F26" s="16">
        <f>666.602+1320.675</f>
        <v>1987.277</v>
      </c>
      <c r="G26" s="16"/>
      <c r="H26" s="16">
        <f>733.489+914.442+13.556</f>
        <v>1661.487</v>
      </c>
      <c r="I26" s="16"/>
      <c r="J26" s="16"/>
      <c r="K26" s="16"/>
      <c r="L26" s="16">
        <f>489.545+260.5</f>
        <v>750.0450000000001</v>
      </c>
      <c r="M26" s="16">
        <f>777.54+28.69</f>
        <v>806.23</v>
      </c>
      <c r="N26" s="20"/>
      <c r="O26" s="16">
        <f>525.438+614.9</f>
        <v>1140.338</v>
      </c>
      <c r="P26" s="16"/>
      <c r="Q26" s="16"/>
      <c r="R26" s="16"/>
      <c r="S26" s="16">
        <f>941.9+2162.789</f>
        <v>3104.6890000000003</v>
      </c>
      <c r="T26" s="16">
        <f>357.274+344.731</f>
        <v>702.005</v>
      </c>
      <c r="U26" s="16"/>
      <c r="V26" s="16">
        <f>0.99+74.46</f>
        <v>75.44999999999999</v>
      </c>
      <c r="W26" s="16"/>
      <c r="X26" s="16"/>
      <c r="Y26" s="16"/>
      <c r="Z26" s="16">
        <f>2355.656+137.45+40.757+1.063</f>
        <v>2534.926</v>
      </c>
      <c r="AA26" s="16">
        <v>0.531</v>
      </c>
      <c r="AB26" s="16"/>
      <c r="AC26" s="16"/>
      <c r="AD26" s="20"/>
      <c r="AE26" s="20"/>
      <c r="AF26" s="20"/>
      <c r="AG26" s="20"/>
      <c r="AH26" s="16"/>
      <c r="AI26" s="16"/>
      <c r="AJ26" s="16">
        <f>SUM(D26:AI26)</f>
        <v>15907.09</v>
      </c>
      <c r="AK26" s="36">
        <f t="shared" si="4"/>
        <v>-5279.9130000000005</v>
      </c>
      <c r="AL26" s="7"/>
      <c r="AM26" s="59" t="s">
        <v>28</v>
      </c>
      <c r="AN26" s="60">
        <f>$AJ$58</f>
        <v>542.505</v>
      </c>
      <c r="AO26" s="77"/>
      <c r="AP26" s="8"/>
    </row>
    <row r="27" spans="2:42" ht="15.75">
      <c r="B27" s="39" t="s">
        <v>25</v>
      </c>
      <c r="C27" s="40">
        <v>31.44</v>
      </c>
      <c r="D27" s="40"/>
      <c r="E27" s="16"/>
      <c r="F27" s="16"/>
      <c r="G27" s="16"/>
      <c r="H27" s="16">
        <v>22.259</v>
      </c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22.259</v>
      </c>
      <c r="AK27" s="36">
        <f t="shared" si="4"/>
        <v>-9.181000000000001</v>
      </c>
      <c r="AL27" s="7"/>
      <c r="AM27" s="59" t="s">
        <v>29</v>
      </c>
      <c r="AN27" s="60">
        <f>$AJ$51+$AJ$76+$AJ$83+$AJ$84+$AJ$89+$AJ$78+$AJ$80+$AJ$85+$AJ$86+$AJ$88+$AJ$82+$AJ$87+$AJ$23</f>
        <v>1419.0149999999999</v>
      </c>
      <c r="AO27" s="77"/>
      <c r="AP27" s="8"/>
    </row>
    <row r="28" spans="2:42" ht="15.75">
      <c r="B28" s="39" t="s">
        <v>27</v>
      </c>
      <c r="C28" s="40">
        <v>2019.348</v>
      </c>
      <c r="D28" s="40"/>
      <c r="E28" s="16">
        <v>48.748</v>
      </c>
      <c r="F28" s="16">
        <v>30.255</v>
      </c>
      <c r="G28" s="16"/>
      <c r="H28" s="16">
        <v>54.741</v>
      </c>
      <c r="I28" s="16"/>
      <c r="J28" s="16"/>
      <c r="K28" s="16"/>
      <c r="L28" s="16">
        <v>39.285</v>
      </c>
      <c r="M28" s="16">
        <v>46.155</v>
      </c>
      <c r="N28" s="20"/>
      <c r="O28" s="16">
        <v>164.02</v>
      </c>
      <c r="P28" s="16"/>
      <c r="Q28" s="16"/>
      <c r="R28" s="16"/>
      <c r="S28" s="16">
        <v>62.6</v>
      </c>
      <c r="T28" s="16">
        <f>71.469+0.254</f>
        <v>71.723</v>
      </c>
      <c r="U28" s="16"/>
      <c r="V28" s="16">
        <v>108.877</v>
      </c>
      <c r="W28" s="16"/>
      <c r="X28" s="16"/>
      <c r="Y28" s="16"/>
      <c r="Z28" s="16">
        <v>208.586</v>
      </c>
      <c r="AA28" s="16"/>
      <c r="AB28" s="16"/>
      <c r="AC28" s="16"/>
      <c r="AD28" s="20"/>
      <c r="AE28" s="20"/>
      <c r="AF28" s="20"/>
      <c r="AG28" s="20"/>
      <c r="AH28" s="16"/>
      <c r="AI28" s="16"/>
      <c r="AJ28" s="16">
        <f>SUM(D28:AI28)</f>
        <v>834.99</v>
      </c>
      <c r="AK28" s="36">
        <f t="shared" si="4"/>
        <v>-1184.358</v>
      </c>
      <c r="AL28" s="7"/>
      <c r="AO28" s="77"/>
      <c r="AP28" s="8"/>
    </row>
    <row r="29" spans="2:42" ht="15.75">
      <c r="B29" s="39" t="s">
        <v>19</v>
      </c>
      <c r="C29" s="40">
        <v>6504.911</v>
      </c>
      <c r="D29" s="40"/>
      <c r="E29" s="16">
        <v>2.589</v>
      </c>
      <c r="F29" s="16">
        <v>2.482</v>
      </c>
      <c r="G29" s="16"/>
      <c r="H29" s="16">
        <v>84.343</v>
      </c>
      <c r="I29" s="16"/>
      <c r="J29" s="16"/>
      <c r="K29" s="16"/>
      <c r="L29" s="16">
        <v>12.042</v>
      </c>
      <c r="M29" s="16">
        <v>186.49</v>
      </c>
      <c r="N29" s="20"/>
      <c r="O29" s="16">
        <v>301.719</v>
      </c>
      <c r="P29" s="16"/>
      <c r="Q29" s="16"/>
      <c r="R29" s="16"/>
      <c r="S29" s="16">
        <v>432.803</v>
      </c>
      <c r="T29" s="16">
        <v>74.309</v>
      </c>
      <c r="U29" s="16"/>
      <c r="V29" s="16">
        <v>185.133</v>
      </c>
      <c r="W29" s="16"/>
      <c r="X29" s="16"/>
      <c r="Y29" s="16"/>
      <c r="Z29" s="16">
        <v>926.632</v>
      </c>
      <c r="AA29" s="16">
        <f>302.142+83.3</f>
        <v>385.442</v>
      </c>
      <c r="AB29" s="16"/>
      <c r="AC29" s="16"/>
      <c r="AD29" s="20"/>
      <c r="AE29" s="20"/>
      <c r="AF29" s="20"/>
      <c r="AG29" s="20"/>
      <c r="AH29" s="16"/>
      <c r="AI29" s="16"/>
      <c r="AJ29" s="16">
        <f>SUM(D29:AI29)</f>
        <v>2593.984</v>
      </c>
      <c r="AK29" s="36">
        <f t="shared" si="4"/>
        <v>-3910.927</v>
      </c>
      <c r="AL29" s="7"/>
      <c r="AO29" s="77"/>
      <c r="AP29" s="8"/>
    </row>
    <row r="30" spans="2:42" ht="15.75">
      <c r="B30" s="39" t="s">
        <v>21</v>
      </c>
      <c r="C30" s="40">
        <v>1100.957</v>
      </c>
      <c r="D30" s="40"/>
      <c r="E30" s="16">
        <v>0.5</v>
      </c>
      <c r="F30" s="16">
        <v>8.091</v>
      </c>
      <c r="G30" s="16"/>
      <c r="H30" s="16">
        <f>33.553+1.81</f>
        <v>35.363</v>
      </c>
      <c r="I30" s="16"/>
      <c r="J30" s="16"/>
      <c r="K30" s="16"/>
      <c r="L30" s="16">
        <v>22.4</v>
      </c>
      <c r="M30" s="16">
        <v>17.377</v>
      </c>
      <c r="N30" s="16"/>
      <c r="O30" s="16">
        <f>45.866+3.504</f>
        <v>49.37</v>
      </c>
      <c r="P30" s="16"/>
      <c r="Q30" s="16"/>
      <c r="R30" s="16"/>
      <c r="S30" s="16">
        <v>8.033</v>
      </c>
      <c r="T30" s="16">
        <v>2.4</v>
      </c>
      <c r="U30" s="16"/>
      <c r="V30" s="16">
        <v>38.217</v>
      </c>
      <c r="W30" s="16"/>
      <c r="X30" s="16"/>
      <c r="Y30" s="16"/>
      <c r="Z30" s="16">
        <f>30.152+0.98</f>
        <v>31.132</v>
      </c>
      <c r="AA30" s="16">
        <v>4.8</v>
      </c>
      <c r="AB30" s="16"/>
      <c r="AC30" s="16"/>
      <c r="AD30" s="16"/>
      <c r="AE30" s="16"/>
      <c r="AF30" s="16"/>
      <c r="AG30" s="16"/>
      <c r="AH30" s="16"/>
      <c r="AI30" s="16"/>
      <c r="AJ30" s="16">
        <f>SUM(D30:AI30)</f>
        <v>217.683</v>
      </c>
      <c r="AK30" s="36">
        <f t="shared" si="4"/>
        <v>-883.2740000000001</v>
      </c>
      <c r="AL30" s="7"/>
      <c r="AM30" s="77"/>
      <c r="AN30" s="78"/>
      <c r="AO30" s="77"/>
      <c r="AP30" s="8"/>
    </row>
    <row r="31" spans="2:42" ht="29.25">
      <c r="B31" s="37" t="s">
        <v>73</v>
      </c>
      <c r="C31" s="38">
        <f>C32</f>
        <v>1278.568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24.55</v>
      </c>
      <c r="G31" s="38">
        <f t="shared" si="8"/>
        <v>0</v>
      </c>
      <c r="H31" s="38">
        <f t="shared" si="8"/>
        <v>19.986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43.061</v>
      </c>
      <c r="N31" s="38">
        <f t="shared" si="8"/>
        <v>0</v>
      </c>
      <c r="O31" s="38">
        <f t="shared" si="8"/>
        <v>59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53.654</v>
      </c>
      <c r="T31" s="38">
        <f t="shared" si="8"/>
        <v>8.7</v>
      </c>
      <c r="U31" s="38">
        <f t="shared" si="8"/>
        <v>0</v>
      </c>
      <c r="V31" s="38">
        <f t="shared" si="8"/>
        <v>347.497</v>
      </c>
      <c r="W31" s="38">
        <f t="shared" si="8"/>
        <v>0</v>
      </c>
      <c r="X31" s="38">
        <f t="shared" si="8"/>
        <v>0</v>
      </c>
      <c r="Y31" s="38">
        <f t="shared" si="8"/>
        <v>0</v>
      </c>
      <c r="Z31" s="38">
        <f t="shared" si="8"/>
        <v>75.8</v>
      </c>
      <c r="AA31" s="38">
        <f t="shared" si="8"/>
        <v>0.438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632.6859999999999</v>
      </c>
      <c r="AK31" s="36">
        <f t="shared" si="4"/>
        <v>-645.8820000000001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1278.568</v>
      </c>
      <c r="D32" s="29"/>
      <c r="E32" s="20"/>
      <c r="F32" s="20">
        <v>24.55</v>
      </c>
      <c r="G32" s="20"/>
      <c r="H32" s="20">
        <v>19.986</v>
      </c>
      <c r="I32" s="20"/>
      <c r="J32" s="20"/>
      <c r="K32" s="20"/>
      <c r="L32" s="20"/>
      <c r="M32" s="20">
        <f>6.626+36.435</f>
        <v>43.061</v>
      </c>
      <c r="N32" s="20"/>
      <c r="O32" s="20">
        <v>59</v>
      </c>
      <c r="P32" s="20"/>
      <c r="Q32" s="20"/>
      <c r="R32" s="20"/>
      <c r="S32" s="20">
        <v>53.654</v>
      </c>
      <c r="T32" s="20">
        <v>8.7</v>
      </c>
      <c r="U32" s="20"/>
      <c r="V32" s="20">
        <f>31.638+24.55+45.991+245.318</f>
        <v>347.497</v>
      </c>
      <c r="W32" s="20"/>
      <c r="X32" s="20"/>
      <c r="Y32" s="20"/>
      <c r="Z32" s="20">
        <v>75.8</v>
      </c>
      <c r="AA32" s="20">
        <v>0.438</v>
      </c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632.6859999999999</v>
      </c>
      <c r="AK32" s="36">
        <f t="shared" si="4"/>
        <v>-645.8820000000001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>
        <v>639.142</v>
      </c>
      <c r="D34" s="38"/>
      <c r="E34" s="38"/>
      <c r="F34" s="38">
        <v>57.689</v>
      </c>
      <c r="G34" s="38"/>
      <c r="H34" s="38">
        <v>16.97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>
        <v>0.054</v>
      </c>
      <c r="U34" s="38"/>
      <c r="V34" s="38">
        <v>239.26</v>
      </c>
      <c r="W34" s="38"/>
      <c r="X34" s="38"/>
      <c r="Y34" s="38"/>
      <c r="Z34" s="38">
        <v>20.675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334.64799999999997</v>
      </c>
      <c r="AK34" s="36">
        <f t="shared" si="4"/>
        <v>-304.4940000000001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>
        <v>60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>
        <v>18.502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18.502</v>
      </c>
      <c r="AK37" s="36">
        <f t="shared" si="4"/>
        <v>-41.498000000000005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1149.0349999999999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1.7570000000000001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330.981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7.809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0</v>
      </c>
      <c r="AA38" s="38">
        <f t="shared" si="9"/>
        <v>605.6999999999999</v>
      </c>
      <c r="AB38" s="38">
        <f t="shared" si="9"/>
        <v>0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946.2470000000001</v>
      </c>
      <c r="AK38" s="36">
        <f t="shared" si="4"/>
        <v>-202.78799999999978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981.451</v>
      </c>
      <c r="D39" s="40"/>
      <c r="E39" s="16"/>
      <c r="F39" s="16"/>
      <c r="G39" s="16"/>
      <c r="H39" s="16"/>
      <c r="I39" s="16"/>
      <c r="J39" s="16"/>
      <c r="K39" s="16"/>
      <c r="L39" s="16"/>
      <c r="M39" s="16">
        <v>329.85</v>
      </c>
      <c r="N39" s="20"/>
      <c r="O39" s="16"/>
      <c r="P39" s="16"/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>
        <v>563.207</v>
      </c>
      <c r="AB39" s="16"/>
      <c r="AC39" s="16"/>
      <c r="AD39" s="20"/>
      <c r="AE39" s="20"/>
      <c r="AF39" s="20"/>
      <c r="AG39" s="20"/>
      <c r="AH39" s="16"/>
      <c r="AI39" s="16"/>
      <c r="AJ39" s="16">
        <f>SUM(D39:AI39)</f>
        <v>893.057</v>
      </c>
      <c r="AK39" s="36">
        <f t="shared" si="4"/>
        <v>-88.394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5.6</v>
      </c>
      <c r="D40" s="40"/>
      <c r="E40" s="16"/>
      <c r="F40" s="16"/>
      <c r="G40" s="16"/>
      <c r="H40" s="16">
        <v>0.215</v>
      </c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0.215</v>
      </c>
      <c r="AK40" s="36">
        <f t="shared" si="4"/>
        <v>-5.385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115.904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5.375</v>
      </c>
      <c r="T41" s="16"/>
      <c r="U41" s="16"/>
      <c r="V41" s="44"/>
      <c r="W41" s="16"/>
      <c r="X41" s="16"/>
      <c r="Y41" s="16"/>
      <c r="Z41" s="44"/>
      <c r="AA41" s="16">
        <v>41.193</v>
      </c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46.568</v>
      </c>
      <c r="AK41" s="36">
        <f t="shared" si="4"/>
        <v>-69.336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46.08</v>
      </c>
      <c r="D42" s="40"/>
      <c r="E42" s="16"/>
      <c r="F42" s="16"/>
      <c r="G42" s="16"/>
      <c r="H42" s="16">
        <v>1.542</v>
      </c>
      <c r="I42" s="16"/>
      <c r="J42" s="16"/>
      <c r="K42" s="16"/>
      <c r="L42" s="16"/>
      <c r="M42" s="16">
        <v>1.131</v>
      </c>
      <c r="N42" s="16"/>
      <c r="O42" s="16"/>
      <c r="P42" s="16"/>
      <c r="Q42" s="16"/>
      <c r="R42" s="16"/>
      <c r="S42" s="16">
        <v>2.434</v>
      </c>
      <c r="T42" s="16"/>
      <c r="U42" s="16"/>
      <c r="V42" s="16"/>
      <c r="W42" s="16"/>
      <c r="X42" s="16"/>
      <c r="Y42" s="16"/>
      <c r="Z42" s="16"/>
      <c r="AA42" s="16">
        <v>1.3</v>
      </c>
      <c r="AB42" s="16">
        <v>0</v>
      </c>
      <c r="AC42" s="16"/>
      <c r="AD42" s="16"/>
      <c r="AE42" s="16"/>
      <c r="AF42" s="16"/>
      <c r="AG42" s="16"/>
      <c r="AH42" s="16"/>
      <c r="AI42" s="16"/>
      <c r="AJ42" s="16">
        <f>SUM(D42:AI42)</f>
        <v>6.407</v>
      </c>
      <c r="AK42" s="36">
        <f t="shared" si="4"/>
        <v>-39.673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302.581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2.9720000000000004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81.139</v>
      </c>
      <c r="N43" s="38">
        <f t="shared" si="10"/>
        <v>0</v>
      </c>
      <c r="O43" s="38">
        <f t="shared" si="10"/>
        <v>4.05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12.457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126.828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227.446</v>
      </c>
      <c r="AK43" s="36">
        <f t="shared" si="4"/>
        <v>-75.13500000000002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255.355</v>
      </c>
      <c r="D44" s="40"/>
      <c r="E44" s="16"/>
      <c r="F44" s="16"/>
      <c r="G44" s="16"/>
      <c r="H44" s="16"/>
      <c r="I44" s="16"/>
      <c r="J44" s="16"/>
      <c r="K44" s="16"/>
      <c r="L44" s="16"/>
      <c r="M44" s="16">
        <v>79.685</v>
      </c>
      <c r="N44" s="20"/>
      <c r="O44" s="16"/>
      <c r="P44" s="16"/>
      <c r="Q44" s="16"/>
      <c r="R44" s="16"/>
      <c r="S44" s="16"/>
      <c r="T44" s="16"/>
      <c r="U44" s="16"/>
      <c r="V44" s="44"/>
      <c r="W44" s="16"/>
      <c r="X44" s="16"/>
      <c r="Y44" s="16"/>
      <c r="Z44" s="44">
        <v>126.828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206.513</v>
      </c>
      <c r="AK44" s="36">
        <f t="shared" si="4"/>
        <v>-48.841999999999985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29.371</v>
      </c>
      <c r="D45" s="40"/>
      <c r="E45" s="16"/>
      <c r="F45" s="16"/>
      <c r="G45" s="16"/>
      <c r="H45" s="16">
        <v>1.608</v>
      </c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>
        <v>12.457</v>
      </c>
      <c r="W45" s="16"/>
      <c r="X45" s="16"/>
      <c r="Y45" s="16">
        <v>0</v>
      </c>
      <c r="Z45" s="16"/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14.065000000000001</v>
      </c>
      <c r="AK45" s="36">
        <f t="shared" si="4"/>
        <v>-15.305999999999997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17.855</v>
      </c>
      <c r="D46" s="40"/>
      <c r="E46" s="16"/>
      <c r="F46" s="16"/>
      <c r="G46" s="16"/>
      <c r="H46" s="16">
        <v>1.364</v>
      </c>
      <c r="I46" s="16"/>
      <c r="J46" s="16"/>
      <c r="K46" s="16"/>
      <c r="L46" s="16"/>
      <c r="M46" s="16">
        <v>1.454</v>
      </c>
      <c r="N46" s="16"/>
      <c r="O46" s="16">
        <v>4.05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6.868</v>
      </c>
      <c r="AK46" s="36">
        <f t="shared" si="4"/>
        <v>-10.987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187.05599999999998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47.284</v>
      </c>
      <c r="M47" s="38">
        <f t="shared" si="11"/>
        <v>0</v>
      </c>
      <c r="N47" s="38">
        <f t="shared" si="11"/>
        <v>0</v>
      </c>
      <c r="O47" s="38">
        <f t="shared" si="11"/>
        <v>3.954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49.656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100.894</v>
      </c>
      <c r="AK47" s="36">
        <f t="shared" si="4"/>
        <v>-86.16199999999998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173.856</v>
      </c>
      <c r="D48" s="40"/>
      <c r="E48" s="16"/>
      <c r="F48" s="16"/>
      <c r="G48" s="16"/>
      <c r="H48" s="16"/>
      <c r="I48" s="16"/>
      <c r="J48" s="16"/>
      <c r="K48" s="16"/>
      <c r="L48" s="16">
        <v>46.604</v>
      </c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49.306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95.91</v>
      </c>
      <c r="AK48" s="36">
        <f t="shared" si="4"/>
        <v>-77.946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10.2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>
        <v>3.954</v>
      </c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3.954</v>
      </c>
      <c r="AK49" s="36">
        <f t="shared" si="4"/>
        <v>-6.245999999999999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3</v>
      </c>
      <c r="D50" s="40"/>
      <c r="E50" s="16"/>
      <c r="F50" s="16"/>
      <c r="G50" s="16"/>
      <c r="H50" s="16"/>
      <c r="I50" s="16"/>
      <c r="J50" s="16"/>
      <c r="K50" s="16"/>
      <c r="L50" s="16">
        <v>0.68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0.35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1.03</v>
      </c>
      <c r="AK50" s="36">
        <f t="shared" si="4"/>
        <v>-1.97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34.64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-34.64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34.64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-34.64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2347.7</v>
      </c>
      <c r="D54" s="38">
        <f t="shared" si="13"/>
        <v>0</v>
      </c>
      <c r="E54" s="38">
        <f t="shared" si="13"/>
        <v>0</v>
      </c>
      <c r="F54" s="38">
        <f t="shared" si="13"/>
        <v>5.854</v>
      </c>
      <c r="G54" s="38">
        <f t="shared" si="13"/>
        <v>0</v>
      </c>
      <c r="H54" s="38">
        <f t="shared" si="13"/>
        <v>61.336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4.9</v>
      </c>
      <c r="M54" s="38">
        <f t="shared" si="13"/>
        <v>355.319</v>
      </c>
      <c r="N54" s="38">
        <f t="shared" si="13"/>
        <v>0</v>
      </c>
      <c r="O54" s="38">
        <f t="shared" si="13"/>
        <v>2.235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43.729</v>
      </c>
      <c r="T54" s="38">
        <f t="shared" si="13"/>
        <v>5.335999999999999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</v>
      </c>
      <c r="Z54" s="38">
        <f t="shared" si="13"/>
        <v>750.638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1229.347</v>
      </c>
      <c r="AK54" s="36">
        <f t="shared" si="4"/>
        <v>-1118.3529999999998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1542.685</v>
      </c>
      <c r="D55" s="40"/>
      <c r="E55" s="16"/>
      <c r="F55" s="16">
        <v>4.226</v>
      </c>
      <c r="G55" s="16"/>
      <c r="H55" s="16"/>
      <c r="I55" s="16"/>
      <c r="J55" s="16"/>
      <c r="K55" s="16"/>
      <c r="L55" s="16"/>
      <c r="M55" s="16">
        <v>352.505</v>
      </c>
      <c r="N55" s="20"/>
      <c r="O55" s="16"/>
      <c r="P55" s="16"/>
      <c r="Q55" s="16"/>
      <c r="R55" s="16"/>
      <c r="S55" s="16"/>
      <c r="T55" s="16"/>
      <c r="U55" s="16"/>
      <c r="V55" s="44"/>
      <c r="W55" s="16"/>
      <c r="X55" s="16"/>
      <c r="Y55" s="16"/>
      <c r="Z55" s="44">
        <v>747.595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1104.326</v>
      </c>
      <c r="AK55" s="36">
        <f t="shared" si="4"/>
        <v>-438.3589999999999</v>
      </c>
    </row>
    <row r="56" spans="2:37" ht="15.75">
      <c r="B56" s="39" t="s">
        <v>19</v>
      </c>
      <c r="C56" s="40">
        <v>710.15</v>
      </c>
      <c r="D56" s="40"/>
      <c r="E56" s="16"/>
      <c r="F56" s="16">
        <v>0.118</v>
      </c>
      <c r="G56" s="16"/>
      <c r="H56" s="16">
        <v>52.626</v>
      </c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>
        <v>41.855</v>
      </c>
      <c r="T56" s="16">
        <v>5.124</v>
      </c>
      <c r="U56" s="16"/>
      <c r="V56" s="44"/>
      <c r="W56" s="16"/>
      <c r="X56" s="16"/>
      <c r="Y56" s="16"/>
      <c r="Z56" s="44">
        <v>2.698</v>
      </c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102.42099999999998</v>
      </c>
      <c r="AK56" s="36">
        <f t="shared" si="4"/>
        <v>-607.729</v>
      </c>
    </row>
    <row r="57" spans="2:38" ht="15.75">
      <c r="B57" s="39" t="s">
        <v>21</v>
      </c>
      <c r="C57" s="40">
        <v>94.865</v>
      </c>
      <c r="D57" s="40"/>
      <c r="E57" s="16"/>
      <c r="F57" s="16">
        <v>1.51</v>
      </c>
      <c r="G57" s="16"/>
      <c r="H57" s="16">
        <v>8.71</v>
      </c>
      <c r="I57" s="16"/>
      <c r="J57" s="16"/>
      <c r="K57" s="16"/>
      <c r="L57" s="16">
        <v>4.9</v>
      </c>
      <c r="M57" s="16">
        <v>2.814</v>
      </c>
      <c r="N57" s="16"/>
      <c r="O57" s="16">
        <v>2.235</v>
      </c>
      <c r="P57" s="16"/>
      <c r="Q57" s="16"/>
      <c r="R57" s="16"/>
      <c r="S57" s="16">
        <v>1.874</v>
      </c>
      <c r="T57" s="16">
        <v>0.212</v>
      </c>
      <c r="U57" s="16"/>
      <c r="V57" s="16"/>
      <c r="W57" s="16"/>
      <c r="X57" s="16"/>
      <c r="Y57" s="16"/>
      <c r="Z57" s="16">
        <v>0.345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22.599999999999998</v>
      </c>
      <c r="AK57" s="36">
        <f t="shared" si="4"/>
        <v>-72.265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969.6450000000001</v>
      </c>
      <c r="D58" s="38">
        <f aca="true" t="shared" si="14" ref="D58:AJ58">SUM(D59:D63)</f>
        <v>0</v>
      </c>
      <c r="E58" s="38">
        <f t="shared" si="14"/>
        <v>3.034</v>
      </c>
      <c r="F58" s="38">
        <f t="shared" si="14"/>
        <v>36.55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194.6</v>
      </c>
      <c r="N58" s="38">
        <f t="shared" si="14"/>
        <v>0</v>
      </c>
      <c r="O58" s="38">
        <f t="shared" si="14"/>
        <v>0.237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1.282</v>
      </c>
      <c r="T58" s="38">
        <f t="shared" si="14"/>
        <v>11.545</v>
      </c>
      <c r="U58" s="38">
        <f t="shared" si="14"/>
        <v>0</v>
      </c>
      <c r="V58" s="38">
        <f t="shared" si="14"/>
        <v>5.202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278.65500000000003</v>
      </c>
      <c r="AA58" s="38">
        <f t="shared" si="14"/>
        <v>11.4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542.505</v>
      </c>
      <c r="AK58" s="36">
        <f t="shared" si="4"/>
        <v>-427.1400000000001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583.154</v>
      </c>
      <c r="D59" s="40"/>
      <c r="E59" s="16"/>
      <c r="F59" s="16"/>
      <c r="G59" s="16"/>
      <c r="H59" s="16"/>
      <c r="I59" s="16"/>
      <c r="J59" s="16"/>
      <c r="K59" s="16"/>
      <c r="L59" s="16"/>
      <c r="M59" s="16">
        <v>182.9</v>
      </c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>
        <v>263.997</v>
      </c>
      <c r="AA59" s="16"/>
      <c r="AB59" s="16"/>
      <c r="AC59" s="16"/>
      <c r="AD59" s="20"/>
      <c r="AE59" s="20"/>
      <c r="AF59" s="20"/>
      <c r="AG59" s="20"/>
      <c r="AH59" s="16"/>
      <c r="AI59" s="16"/>
      <c r="AJ59" s="16">
        <f>SUM(D59:AI59)</f>
        <v>446.89700000000005</v>
      </c>
      <c r="AK59" s="36">
        <f t="shared" si="4"/>
        <v>-136.25699999999995</v>
      </c>
    </row>
    <row r="60" spans="2:37" ht="15.75">
      <c r="B60" s="39" t="s">
        <v>25</v>
      </c>
      <c r="C60" s="40">
        <v>4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-4</v>
      </c>
    </row>
    <row r="61" spans="2:37" ht="15.75">
      <c r="B61" s="39" t="s">
        <v>19</v>
      </c>
      <c r="C61" s="40">
        <v>123.2</v>
      </c>
      <c r="D61" s="40"/>
      <c r="E61" s="16"/>
      <c r="F61" s="16">
        <v>35.51</v>
      </c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>
        <v>0.234</v>
      </c>
      <c r="T61" s="16">
        <v>11.545</v>
      </c>
      <c r="U61" s="16"/>
      <c r="V61" s="44">
        <v>5.202</v>
      </c>
      <c r="W61" s="16"/>
      <c r="X61" s="16"/>
      <c r="Y61" s="16"/>
      <c r="Z61" s="16">
        <v>0.666</v>
      </c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53.157</v>
      </c>
      <c r="AK61" s="36">
        <f t="shared" si="4"/>
        <v>-70.043</v>
      </c>
    </row>
    <row r="62" spans="2:37" ht="15.75">
      <c r="B62" s="39" t="s">
        <v>31</v>
      </c>
      <c r="C62" s="40">
        <v>69.474</v>
      </c>
      <c r="D62" s="40"/>
      <c r="E62" s="16">
        <v>3.034</v>
      </c>
      <c r="F62" s="16"/>
      <c r="G62" s="16"/>
      <c r="H62" s="16"/>
      <c r="I62" s="16"/>
      <c r="J62" s="16"/>
      <c r="K62" s="16"/>
      <c r="L62" s="16"/>
      <c r="M62" s="16">
        <v>11.7</v>
      </c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13.992</v>
      </c>
      <c r="AA62" s="16">
        <v>0.3</v>
      </c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29.026</v>
      </c>
      <c r="AK62" s="36">
        <f t="shared" si="4"/>
        <v>-40.44800000000001</v>
      </c>
    </row>
    <row r="63" spans="2:37" ht="15.75">
      <c r="B63" s="39" t="s">
        <v>21</v>
      </c>
      <c r="C63" s="40">
        <v>189.817</v>
      </c>
      <c r="D63" s="40"/>
      <c r="E63" s="16"/>
      <c r="F63" s="16">
        <v>1.04</v>
      </c>
      <c r="G63" s="16"/>
      <c r="H63" s="16"/>
      <c r="I63" s="16"/>
      <c r="J63" s="16"/>
      <c r="K63" s="16"/>
      <c r="L63" s="16"/>
      <c r="M63" s="16"/>
      <c r="N63" s="16"/>
      <c r="O63" s="16">
        <v>0.237</v>
      </c>
      <c r="P63" s="16"/>
      <c r="Q63" s="16"/>
      <c r="R63" s="16"/>
      <c r="S63" s="16">
        <v>1.048</v>
      </c>
      <c r="T63" s="16"/>
      <c r="U63" s="16"/>
      <c r="V63" s="16"/>
      <c r="W63" s="16"/>
      <c r="X63" s="16"/>
      <c r="Y63" s="16"/>
      <c r="Z63" s="16"/>
      <c r="AA63" s="16">
        <v>11.1</v>
      </c>
      <c r="AB63" s="16"/>
      <c r="AC63" s="16"/>
      <c r="AD63" s="16"/>
      <c r="AE63" s="16"/>
      <c r="AF63" s="16"/>
      <c r="AG63" s="16"/>
      <c r="AH63" s="16"/>
      <c r="AI63" s="16"/>
      <c r="AJ63" s="16">
        <f>SUM(D63:AI63)</f>
        <v>13.425</v>
      </c>
      <c r="AK63" s="36">
        <f t="shared" si="4"/>
        <v>-176.392</v>
      </c>
    </row>
    <row r="64" spans="2:37" ht="43.5">
      <c r="B64" s="37" t="s">
        <v>70</v>
      </c>
      <c r="C64" s="38">
        <f>C65</f>
        <v>400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-400</v>
      </c>
    </row>
    <row r="65" spans="2:37" ht="15.75">
      <c r="B65" s="39" t="s">
        <v>31</v>
      </c>
      <c r="C65" s="40">
        <v>400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-400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3608.351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491.416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75.443</v>
      </c>
      <c r="M68" s="38">
        <f t="shared" si="17"/>
        <v>0</v>
      </c>
      <c r="N68" s="38">
        <f t="shared" si="17"/>
        <v>0</v>
      </c>
      <c r="O68" s="38">
        <f t="shared" si="17"/>
        <v>153.618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1030.7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92.341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1843.518</v>
      </c>
      <c r="AK68" s="36">
        <f t="shared" si="4"/>
        <v>-1764.833</v>
      </c>
    </row>
    <row r="69" spans="2:37" ht="15.75">
      <c r="B69" s="50" t="s">
        <v>46</v>
      </c>
      <c r="C69" s="29">
        <v>202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-202</v>
      </c>
    </row>
    <row r="70" spans="2:37" ht="15.75">
      <c r="B70" s="50" t="s">
        <v>31</v>
      </c>
      <c r="C70" s="29">
        <v>3406.351</v>
      </c>
      <c r="D70" s="29"/>
      <c r="E70" s="20"/>
      <c r="F70" s="20">
        <v>491.416</v>
      </c>
      <c r="G70" s="20"/>
      <c r="H70" s="20"/>
      <c r="I70" s="20"/>
      <c r="J70" s="20"/>
      <c r="K70" s="20"/>
      <c r="L70" s="20">
        <v>75.443</v>
      </c>
      <c r="M70" s="20"/>
      <c r="N70" s="20"/>
      <c r="O70" s="20">
        <v>153.618</v>
      </c>
      <c r="P70" s="20"/>
      <c r="Q70" s="20"/>
      <c r="R70" s="20"/>
      <c r="S70" s="20"/>
      <c r="T70" s="20">
        <v>1030.7</v>
      </c>
      <c r="U70" s="20"/>
      <c r="V70" s="20"/>
      <c r="W70" s="20"/>
      <c r="X70" s="20"/>
      <c r="Y70" s="20"/>
      <c r="Z70" s="20">
        <v>92.341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1843.518</v>
      </c>
      <c r="AK70" s="36">
        <f t="shared" si="4"/>
        <v>-1562.833</v>
      </c>
    </row>
    <row r="71" spans="2:37" ht="15.75">
      <c r="B71" s="37" t="s">
        <v>47</v>
      </c>
      <c r="C71" s="38">
        <f>C72+C73</f>
        <v>49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31.015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20.893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51.908</v>
      </c>
      <c r="AK71" s="36">
        <f t="shared" si="4"/>
        <v>2.9080000000000013</v>
      </c>
    </row>
    <row r="72" spans="2:37" ht="15.75">
      <c r="B72" s="39" t="s">
        <v>19</v>
      </c>
      <c r="C72" s="29">
        <v>49</v>
      </c>
      <c r="D72" s="29"/>
      <c r="E72" s="20"/>
      <c r="F72" s="20"/>
      <c r="G72" s="20"/>
      <c r="H72" s="20">
        <v>31.015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>
        <v>17.984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48.999</v>
      </c>
      <c r="AK72" s="36">
        <f t="shared" si="4"/>
        <v>-0.0009999999999976694</v>
      </c>
    </row>
    <row r="73" spans="2:37" ht="15.75">
      <c r="B73" s="39" t="s">
        <v>31</v>
      </c>
      <c r="C73" s="29">
        <v>0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>
        <v>2.909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2.909</v>
      </c>
      <c r="AK73" s="36">
        <f t="shared" si="4"/>
        <v>2.909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85.392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>
        <v>61.392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61.392</v>
      </c>
      <c r="AK80" s="36">
        <f t="shared" si="4"/>
        <v>-23.999999999999993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248.728</v>
      </c>
      <c r="D82" s="38"/>
      <c r="E82" s="38"/>
      <c r="F82" s="38"/>
      <c r="G82" s="38"/>
      <c r="H82" s="38"/>
      <c r="I82" s="38"/>
      <c r="J82" s="38"/>
      <c r="K82" s="38"/>
      <c r="L82" s="38"/>
      <c r="M82" s="38">
        <v>69.584</v>
      </c>
      <c r="N82" s="38"/>
      <c r="O82" s="38">
        <v>8.258</v>
      </c>
      <c r="P82" s="38"/>
      <c r="Q82" s="38"/>
      <c r="R82" s="38"/>
      <c r="S82" s="38"/>
      <c r="T82" s="38"/>
      <c r="U82" s="38"/>
      <c r="V82" s="38">
        <v>2.901</v>
      </c>
      <c r="W82" s="38"/>
      <c r="X82" s="38"/>
      <c r="Y82" s="38"/>
      <c r="Z82" s="38">
        <v>117.538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198.281</v>
      </c>
      <c r="AK82" s="36">
        <f t="shared" si="4"/>
        <v>-50.447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212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-212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33.436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>
        <v>33.436</v>
      </c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33.436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>
        <v>31.68</v>
      </c>
      <c r="F89" s="38"/>
      <c r="G89" s="38"/>
      <c r="H89" s="38"/>
      <c r="I89" s="38"/>
      <c r="J89" s="38"/>
      <c r="K89" s="38"/>
      <c r="L89" s="38"/>
      <c r="M89" s="38"/>
      <c r="N89" s="38"/>
      <c r="O89" s="38">
        <v>1005.714</v>
      </c>
      <c r="P89" s="38"/>
      <c r="Q89" s="38"/>
      <c r="R89" s="38"/>
      <c r="S89" s="38"/>
      <c r="T89" s="38">
        <v>36.085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1073.479</v>
      </c>
      <c r="AK89" s="36">
        <f t="shared" si="21"/>
        <v>1073.479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50929.17</v>
      </c>
      <c r="D90" s="53">
        <f aca="true" t="shared" si="22" ref="D90:AH90">SUM(D91:D97)</f>
        <v>0</v>
      </c>
      <c r="E90" s="53">
        <f t="shared" si="22"/>
        <v>3319.4020000000005</v>
      </c>
      <c r="F90" s="53">
        <f t="shared" si="22"/>
        <v>2690.67</v>
      </c>
      <c r="G90" s="53">
        <f t="shared" si="22"/>
        <v>0</v>
      </c>
      <c r="H90" s="53">
        <f t="shared" si="22"/>
        <v>2063.065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956.8180000000001</v>
      </c>
      <c r="M90" s="53">
        <f t="shared" si="22"/>
        <v>2744.328</v>
      </c>
      <c r="N90" s="53">
        <f t="shared" si="22"/>
        <v>0</v>
      </c>
      <c r="O90" s="53">
        <f t="shared" si="22"/>
        <v>3830.6490000000003</v>
      </c>
      <c r="P90" s="53">
        <f t="shared" si="22"/>
        <v>0</v>
      </c>
      <c r="Q90" s="53">
        <f t="shared" si="22"/>
        <v>0</v>
      </c>
      <c r="R90" s="53">
        <f t="shared" si="22"/>
        <v>0</v>
      </c>
      <c r="S90" s="53">
        <f t="shared" si="22"/>
        <v>3740.4770000000003</v>
      </c>
      <c r="T90" s="53">
        <f t="shared" si="22"/>
        <v>2032.1200000000001</v>
      </c>
      <c r="U90" s="53">
        <f t="shared" si="22"/>
        <v>0</v>
      </c>
      <c r="V90" s="53">
        <f t="shared" si="22"/>
        <v>1113.629</v>
      </c>
      <c r="W90" s="53">
        <f t="shared" si="22"/>
        <v>0</v>
      </c>
      <c r="X90" s="53">
        <f t="shared" si="22"/>
        <v>0</v>
      </c>
      <c r="Y90" s="53">
        <f t="shared" si="22"/>
        <v>0</v>
      </c>
      <c r="Z90" s="53">
        <f t="shared" si="22"/>
        <v>5756.023</v>
      </c>
      <c r="AA90" s="53">
        <f t="shared" si="22"/>
        <v>3442.218</v>
      </c>
      <c r="AB90" s="53">
        <f t="shared" si="22"/>
        <v>24.055</v>
      </c>
      <c r="AC90" s="53">
        <f t="shared" si="22"/>
        <v>0</v>
      </c>
      <c r="AD90" s="53">
        <f t="shared" si="22"/>
        <v>0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31713.453999999998</v>
      </c>
      <c r="AK90" s="36">
        <f t="shared" si="21"/>
        <v>-19215.716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29567.64</v>
      </c>
      <c r="D91" s="40">
        <f t="shared" si="23"/>
        <v>0</v>
      </c>
      <c r="E91" s="40">
        <f t="shared" si="23"/>
        <v>3144.112</v>
      </c>
      <c r="F91" s="40">
        <f t="shared" si="23"/>
        <v>1991.5030000000002</v>
      </c>
      <c r="G91" s="40">
        <f t="shared" si="23"/>
        <v>0</v>
      </c>
      <c r="H91" s="40">
        <f t="shared" si="23"/>
        <v>1703.461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796.6490000000001</v>
      </c>
      <c r="M91" s="40">
        <f t="shared" si="23"/>
        <v>2351.7400000000002</v>
      </c>
      <c r="N91" s="40">
        <f t="shared" si="23"/>
        <v>0</v>
      </c>
      <c r="O91" s="40">
        <f t="shared" si="23"/>
        <v>2071.188</v>
      </c>
      <c r="P91" s="40">
        <f t="shared" si="23"/>
        <v>0</v>
      </c>
      <c r="Q91" s="40">
        <f t="shared" si="23"/>
        <v>0</v>
      </c>
      <c r="R91" s="40">
        <f t="shared" si="23"/>
        <v>0</v>
      </c>
      <c r="S91" s="40">
        <f t="shared" si="23"/>
        <v>3104.6890000000003</v>
      </c>
      <c r="T91" s="40">
        <f t="shared" si="23"/>
        <v>702.005</v>
      </c>
      <c r="U91" s="40">
        <f t="shared" si="23"/>
        <v>0</v>
      </c>
      <c r="V91" s="40">
        <f t="shared" si="23"/>
        <v>75.44999999999999</v>
      </c>
      <c r="W91" s="40">
        <f t="shared" si="23"/>
        <v>0</v>
      </c>
      <c r="X91" s="40">
        <f t="shared" si="23"/>
        <v>0</v>
      </c>
      <c r="Y91" s="40">
        <f t="shared" si="23"/>
        <v>0</v>
      </c>
      <c r="Z91" s="40">
        <f t="shared" si="23"/>
        <v>4228.869</v>
      </c>
      <c r="AA91" s="40">
        <f t="shared" si="23"/>
        <v>2988.422</v>
      </c>
      <c r="AB91" s="40">
        <f t="shared" si="23"/>
        <v>0</v>
      </c>
      <c r="AC91" s="40">
        <f t="shared" si="23"/>
        <v>0</v>
      </c>
      <c r="AD91" s="40">
        <f t="shared" si="23"/>
        <v>0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23158.088</v>
      </c>
      <c r="AK91" s="36">
        <f t="shared" si="21"/>
        <v>-6409.552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41.04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22.474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0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22.474</v>
      </c>
      <c r="AK92" s="36">
        <f t="shared" si="21"/>
        <v>-18.566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2019.348</v>
      </c>
      <c r="D93" s="40">
        <f t="shared" si="25"/>
        <v>0</v>
      </c>
      <c r="E93" s="40">
        <f t="shared" si="25"/>
        <v>48.748</v>
      </c>
      <c r="F93" s="40">
        <f t="shared" si="25"/>
        <v>30.255</v>
      </c>
      <c r="G93" s="40">
        <f t="shared" si="25"/>
        <v>0</v>
      </c>
      <c r="H93" s="40">
        <f t="shared" si="25"/>
        <v>54.741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39.285</v>
      </c>
      <c r="M93" s="40">
        <f t="shared" si="25"/>
        <v>46.155</v>
      </c>
      <c r="N93" s="40">
        <f t="shared" si="25"/>
        <v>0</v>
      </c>
      <c r="O93" s="40">
        <f t="shared" si="25"/>
        <v>164.02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62.6</v>
      </c>
      <c r="T93" s="40">
        <f t="shared" si="25"/>
        <v>71.723</v>
      </c>
      <c r="U93" s="40">
        <f t="shared" si="25"/>
        <v>0</v>
      </c>
      <c r="V93" s="40">
        <f t="shared" si="25"/>
        <v>108.877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208.586</v>
      </c>
      <c r="AA93" s="40">
        <f t="shared" si="25"/>
        <v>0</v>
      </c>
      <c r="AB93" s="40">
        <f t="shared" si="25"/>
        <v>0</v>
      </c>
      <c r="AC93" s="40">
        <f t="shared" si="25"/>
        <v>0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834.99</v>
      </c>
      <c r="AK93" s="36">
        <f t="shared" si="21"/>
        <v>-1184.358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7885.697999999999</v>
      </c>
      <c r="D94" s="40">
        <f t="shared" si="26"/>
        <v>0</v>
      </c>
      <c r="E94" s="40">
        <f t="shared" si="26"/>
        <v>21.134999999999998</v>
      </c>
      <c r="F94" s="40">
        <f t="shared" si="26"/>
        <v>49.866</v>
      </c>
      <c r="G94" s="40">
        <f t="shared" si="26"/>
        <v>0</v>
      </c>
      <c r="H94" s="40">
        <f t="shared" si="26"/>
        <v>169.664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12.042</v>
      </c>
      <c r="M94" s="40">
        <f t="shared" si="26"/>
        <v>186.49</v>
      </c>
      <c r="N94" s="40">
        <f t="shared" si="26"/>
        <v>0</v>
      </c>
      <c r="O94" s="40">
        <f t="shared" si="26"/>
        <v>306.445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480.292</v>
      </c>
      <c r="T94" s="40">
        <f t="shared" si="26"/>
        <v>91.41999999999999</v>
      </c>
      <c r="U94" s="40">
        <f t="shared" si="26"/>
        <v>0</v>
      </c>
      <c r="V94" s="40">
        <f t="shared" si="26"/>
        <v>202.792</v>
      </c>
      <c r="W94" s="40">
        <f t="shared" si="26"/>
        <v>0</v>
      </c>
      <c r="X94" s="40">
        <f t="shared" si="26"/>
        <v>0</v>
      </c>
      <c r="Y94" s="40">
        <f t="shared" si="26"/>
        <v>0</v>
      </c>
      <c r="Z94" s="40">
        <f t="shared" si="26"/>
        <v>951.737</v>
      </c>
      <c r="AA94" s="40">
        <f t="shared" si="26"/>
        <v>434.598</v>
      </c>
      <c r="AB94" s="40">
        <f t="shared" si="26"/>
        <v>0</v>
      </c>
      <c r="AC94" s="40">
        <f t="shared" si="26"/>
        <v>0</v>
      </c>
      <c r="AD94" s="40">
        <f t="shared" si="26"/>
        <v>0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2906.481</v>
      </c>
      <c r="AK94" s="36">
        <f t="shared" si="21"/>
        <v>-4979.216999999999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5471.197</v>
      </c>
      <c r="D96" s="40">
        <f t="shared" si="28"/>
        <v>0</v>
      </c>
      <c r="E96" s="40">
        <f t="shared" si="28"/>
        <v>3.034</v>
      </c>
      <c r="F96" s="40">
        <f t="shared" si="28"/>
        <v>515.966</v>
      </c>
      <c r="G96" s="40">
        <f t="shared" si="28"/>
        <v>0</v>
      </c>
      <c r="H96" s="40">
        <f t="shared" si="28"/>
        <v>19.986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75.443</v>
      </c>
      <c r="M96" s="40">
        <f t="shared" si="28"/>
        <v>124.345</v>
      </c>
      <c r="N96" s="40">
        <f t="shared" si="28"/>
        <v>0</v>
      </c>
      <c r="O96" s="40">
        <f t="shared" si="28"/>
        <v>220.876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53.654</v>
      </c>
      <c r="T96" s="40">
        <f t="shared" si="28"/>
        <v>1039.4</v>
      </c>
      <c r="U96" s="40">
        <f t="shared" si="28"/>
        <v>0</v>
      </c>
      <c r="V96" s="40">
        <f t="shared" si="28"/>
        <v>383.834</v>
      </c>
      <c r="W96" s="40">
        <f t="shared" si="28"/>
        <v>0</v>
      </c>
      <c r="X96" s="40">
        <f t="shared" si="28"/>
        <v>0</v>
      </c>
      <c r="Y96" s="40">
        <f t="shared" si="28"/>
        <v>0</v>
      </c>
      <c r="Z96" s="40">
        <f t="shared" si="28"/>
        <v>302.58</v>
      </c>
      <c r="AA96" s="40">
        <f t="shared" si="28"/>
        <v>0.738</v>
      </c>
      <c r="AB96" s="40">
        <f t="shared" si="28"/>
        <v>0</v>
      </c>
      <c r="AC96" s="40">
        <f t="shared" si="28"/>
        <v>0</v>
      </c>
      <c r="AD96" s="40">
        <f t="shared" si="28"/>
        <v>0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2739.856</v>
      </c>
      <c r="AK96" s="36">
        <f t="shared" si="21"/>
        <v>-2731.341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5944.246999999999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102.37299999999999</v>
      </c>
      <c r="F97" s="40">
        <f t="shared" si="29"/>
        <v>103.08000000000001</v>
      </c>
      <c r="G97" s="40">
        <f t="shared" si="29"/>
        <v>0</v>
      </c>
      <c r="H97" s="40">
        <f t="shared" si="29"/>
        <v>92.739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33.399</v>
      </c>
      <c r="M97" s="40">
        <f t="shared" si="29"/>
        <v>35.598</v>
      </c>
      <c r="N97" s="40">
        <f t="shared" si="29"/>
        <v>0</v>
      </c>
      <c r="O97" s="40">
        <f t="shared" si="29"/>
        <v>1068.1200000000001</v>
      </c>
      <c r="P97" s="40">
        <f t="shared" si="29"/>
        <v>0</v>
      </c>
      <c r="Q97" s="40">
        <f t="shared" si="29"/>
        <v>0</v>
      </c>
      <c r="R97" s="40">
        <f t="shared" si="29"/>
        <v>0</v>
      </c>
      <c r="S97" s="40">
        <f t="shared" si="29"/>
        <v>39.242</v>
      </c>
      <c r="T97" s="40">
        <f t="shared" si="29"/>
        <v>127.57200000000002</v>
      </c>
      <c r="U97" s="40">
        <f t="shared" si="29"/>
        <v>0</v>
      </c>
      <c r="V97" s="40">
        <f t="shared" si="29"/>
        <v>342.676</v>
      </c>
      <c r="W97" s="40">
        <f t="shared" si="29"/>
        <v>0</v>
      </c>
      <c r="X97" s="40">
        <f t="shared" si="29"/>
        <v>0</v>
      </c>
      <c r="Y97" s="40">
        <f t="shared" si="29"/>
        <v>0</v>
      </c>
      <c r="Z97" s="40">
        <f t="shared" si="29"/>
        <v>64.251</v>
      </c>
      <c r="AA97" s="40">
        <f t="shared" si="29"/>
        <v>18.46</v>
      </c>
      <c r="AB97" s="40">
        <f t="shared" si="29"/>
        <v>24.055</v>
      </c>
      <c r="AC97" s="40">
        <f t="shared" si="29"/>
        <v>0</v>
      </c>
      <c r="AD97" s="40">
        <f t="shared" si="29"/>
        <v>0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2051.565</v>
      </c>
      <c r="AK97" s="36">
        <f t="shared" si="21"/>
        <v>-3892.6819999999993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9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83"/>
  <sheetViews>
    <sheetView tabSelected="1" zoomScale="75" zoomScaleNormal="75" zoomScaleSheetLayoutView="70" zoomScalePageLayoutView="0" workbookViewId="0" topLeftCell="B1">
      <pane xSplit="2" ySplit="5" topLeftCell="D20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27" sqref="E27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8.00390625" style="5" customWidth="1"/>
    <col min="7" max="7" width="8.57421875" style="5" customWidth="1"/>
    <col min="8" max="8" width="8.00390625" style="5" customWidth="1"/>
    <col min="9" max="9" width="3.8515625" style="5" customWidth="1"/>
    <col min="10" max="10" width="4.140625" style="5" customWidth="1"/>
    <col min="11" max="12" width="7.140625" style="5" customWidth="1"/>
    <col min="13" max="13" width="8.7109375" style="57" customWidth="1"/>
    <col min="14" max="14" width="7.7109375" style="5" customWidth="1"/>
    <col min="15" max="15" width="7.421875" style="5" customWidth="1"/>
    <col min="16" max="16" width="3.140625" style="5" customWidth="1"/>
    <col min="17" max="17" width="3.57421875" style="5" customWidth="1"/>
    <col min="18" max="18" width="8.8515625" style="5" customWidth="1"/>
    <col min="19" max="19" width="7.7109375" style="5" customWidth="1"/>
    <col min="20" max="20" width="8.00390625" style="5" customWidth="1"/>
    <col min="21" max="21" width="8.28125" style="5" customWidth="1"/>
    <col min="22" max="22" width="8.421875" style="5" customWidth="1"/>
    <col min="23" max="23" width="4.57421875" style="5" customWidth="1"/>
    <col min="24" max="24" width="4.28125" style="5" customWidth="1"/>
    <col min="25" max="25" width="8.57421875" style="5" customWidth="1"/>
    <col min="26" max="27" width="8.140625" style="5" customWidth="1"/>
    <col min="28" max="28" width="7.421875" style="5" customWidth="1"/>
    <col min="29" max="29" width="8.00390625" style="5" customWidth="1"/>
    <col min="30" max="30" width="4.00390625" style="5" customWidth="1"/>
    <col min="31" max="31" width="3.8515625" style="5" customWidth="1"/>
    <col min="32" max="32" width="7.8515625" style="5" customWidth="1"/>
    <col min="33" max="33" width="9.00390625" style="5" customWidth="1"/>
    <col min="34" max="34" width="8.71093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0" t="s">
        <v>74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3623.4</v>
      </c>
      <c r="D7" s="79">
        <v>3623.4</v>
      </c>
      <c r="E7" s="19"/>
      <c r="F7" s="16"/>
      <c r="G7" s="16"/>
      <c r="H7" s="16"/>
      <c r="I7" s="16"/>
      <c r="J7" s="16"/>
      <c r="K7" s="16"/>
      <c r="L7" s="16"/>
      <c r="M7" s="44"/>
      <c r="N7" s="2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499.99699999999996</v>
      </c>
      <c r="D8" s="22">
        <f aca="true" t="shared" si="0" ref="D8:AH8">SUM(D9:D16)</f>
        <v>499.99699999999996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>SUM(M9:M16)</f>
        <v>0</v>
      </c>
      <c r="N8" s="22">
        <f t="shared" si="0"/>
        <v>0</v>
      </c>
      <c r="O8" s="22">
        <f>SUM(O9:O16)</f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>SUM(U9:U16)</f>
        <v>0</v>
      </c>
      <c r="V8" s="22">
        <f>SUM(V9:V16)</f>
        <v>0</v>
      </c>
      <c r="W8" s="22">
        <f>SUM(W9:W16)</f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200.124</v>
      </c>
      <c r="D9" s="71">
        <v>200.124</v>
      </c>
      <c r="E9" s="2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5"/>
      <c r="AA9" s="25"/>
      <c r="AB9" s="20"/>
      <c r="AC9" s="25"/>
      <c r="AD9" s="20"/>
      <c r="AE9" s="20"/>
      <c r="AF9" s="20"/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3</v>
      </c>
      <c r="D10" s="71">
        <v>3</v>
      </c>
      <c r="E10" s="2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5"/>
      <c r="AA10" s="25"/>
      <c r="AB10" s="20"/>
      <c r="AC10" s="25"/>
      <c r="AD10" s="20"/>
      <c r="AE10" s="20"/>
      <c r="AF10" s="20"/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58.495</v>
      </c>
      <c r="D11" s="71">
        <v>58.495</v>
      </c>
      <c r="E11" s="2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5"/>
      <c r="AA11" s="25"/>
      <c r="AB11" s="20"/>
      <c r="AC11" s="25"/>
      <c r="AD11" s="20"/>
      <c r="AE11" s="20"/>
      <c r="AF11" s="20"/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0</v>
      </c>
      <c r="D12" s="71">
        <v>0</v>
      </c>
      <c r="E12" s="2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5"/>
      <c r="AA12" s="25"/>
      <c r="AB12" s="20"/>
      <c r="AC12" s="25"/>
      <c r="AD12" s="20"/>
      <c r="AE12" s="20"/>
      <c r="AF12" s="20"/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54.15</v>
      </c>
      <c r="D13" s="71">
        <v>54.15</v>
      </c>
      <c r="E13" s="2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5"/>
      <c r="AA13" s="25"/>
      <c r="AB13" s="20"/>
      <c r="AC13" s="20"/>
      <c r="AD13" s="20"/>
      <c r="AE13" s="20"/>
      <c r="AF13" s="20"/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56.754</v>
      </c>
      <c r="D14" s="71">
        <v>56.754</v>
      </c>
      <c r="E14" s="2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5"/>
      <c r="AA14" s="25"/>
      <c r="AB14" s="20"/>
      <c r="AC14" s="25"/>
      <c r="AD14" s="20"/>
      <c r="AE14" s="20"/>
      <c r="AF14" s="20"/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10.067</v>
      </c>
      <c r="D15" s="71">
        <v>10.067</v>
      </c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5"/>
      <c r="AA15" s="25"/>
      <c r="AB15" s="20"/>
      <c r="AC15" s="25"/>
      <c r="AD15" s="20"/>
      <c r="AE15" s="20"/>
      <c r="AF15" s="20"/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117.407</v>
      </c>
      <c r="D16" s="71">
        <v>117.407</v>
      </c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5"/>
      <c r="AA16" s="25"/>
      <c r="AB16" s="20"/>
      <c r="AC16" s="25"/>
      <c r="AD16" s="20"/>
      <c r="AE16" s="20"/>
      <c r="AF16" s="20"/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4123.397</v>
      </c>
      <c r="D17" s="33">
        <f>SUM(D6:D8)</f>
        <v>4123.397</v>
      </c>
      <c r="E17" s="33">
        <f aca="true" t="shared" si="2" ref="E17:AH17">SUM(E6:E8)</f>
        <v>0</v>
      </c>
      <c r="F17" s="33">
        <f t="shared" si="2"/>
        <v>0</v>
      </c>
      <c r="G17" s="33">
        <f t="shared" si="2"/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0</v>
      </c>
      <c r="O17" s="33">
        <f t="shared" si="2"/>
        <v>0</v>
      </c>
      <c r="P17" s="33">
        <f t="shared" si="2"/>
        <v>0</v>
      </c>
      <c r="Q17" s="33">
        <f t="shared" si="2"/>
        <v>0</v>
      </c>
      <c r="R17" s="33">
        <f t="shared" si="2"/>
        <v>0</v>
      </c>
      <c r="S17" s="33">
        <f t="shared" si="2"/>
        <v>0</v>
      </c>
      <c r="T17" s="33">
        <f t="shared" si="2"/>
        <v>0</v>
      </c>
      <c r="U17" s="33">
        <f t="shared" si="2"/>
        <v>0</v>
      </c>
      <c r="V17" s="33">
        <f t="shared" si="2"/>
        <v>0</v>
      </c>
      <c r="W17" s="33">
        <f t="shared" si="2"/>
        <v>0</v>
      </c>
      <c r="X17" s="33">
        <f t="shared" si="2"/>
        <v>0</v>
      </c>
      <c r="Y17" s="33">
        <f t="shared" si="2"/>
        <v>0</v>
      </c>
      <c r="Z17" s="33">
        <f t="shared" si="2"/>
        <v>0</v>
      </c>
      <c r="AA17" s="33">
        <f t="shared" si="2"/>
        <v>0</v>
      </c>
      <c r="AB17" s="33">
        <f t="shared" si="2"/>
        <v>0</v>
      </c>
      <c r="AC17" s="33">
        <f t="shared" si="2"/>
        <v>0</v>
      </c>
      <c r="AD17" s="33">
        <f t="shared" si="2"/>
        <v>0</v>
      </c>
      <c r="AE17" s="33">
        <f>SUM(AF6:AF8)</f>
        <v>0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C19+C25+C31+C34+C35+C37+C38+C43+C47+C51+C54+C58+C68+C76+C83+C84+C90+C33+C71+C80+C78+C79+C85+C86+C88+C74+C36+C64+C82+C66+C87+C75+C23+C81+C89</f>
        <v>61375.58699999999</v>
      </c>
      <c r="D18" s="35">
        <f aca="true" t="shared" si="3" ref="D18:AJ18">D19+D25+D31+D34+D35+D37+D38+D43+D47+D51+D54+D58+D68+D76+D83+D84+D90+D33+D71+D80+D78+D79+D85+D86+D88+D74+D36+D64+D82+D66+D87+D75+D23+D81+D89</f>
        <v>0</v>
      </c>
      <c r="E18" s="35">
        <f t="shared" si="3"/>
        <v>4934.504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0</v>
      </c>
      <c r="T18" s="35">
        <f t="shared" si="3"/>
        <v>0</v>
      </c>
      <c r="U18" s="35">
        <f t="shared" si="3"/>
        <v>0</v>
      </c>
      <c r="V18" s="35">
        <f t="shared" si="3"/>
        <v>0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0</v>
      </c>
      <c r="AA18" s="35">
        <f t="shared" si="3"/>
        <v>0</v>
      </c>
      <c r="AB18" s="35">
        <f t="shared" si="3"/>
        <v>0</v>
      </c>
      <c r="AC18" s="35">
        <f t="shared" si="3"/>
        <v>0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4934.504</v>
      </c>
      <c r="AK18" s="36">
        <f aca="true" t="shared" si="4" ref="AK18:AK85">AJ18-C18</f>
        <v>-56441.08299999999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6140.097</v>
      </c>
      <c r="D19" s="38">
        <f t="shared" si="5"/>
        <v>0</v>
      </c>
      <c r="E19" s="38">
        <f t="shared" si="5"/>
        <v>38.830999999999996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0</v>
      </c>
      <c r="AA19" s="38">
        <f t="shared" si="5"/>
        <v>0</v>
      </c>
      <c r="AB19" s="38">
        <f t="shared" si="5"/>
        <v>0</v>
      </c>
      <c r="AC19" s="38">
        <f t="shared" si="5"/>
        <v>0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38.830999999999996</v>
      </c>
      <c r="AK19" s="36">
        <f t="shared" si="4"/>
        <v>-6101.266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4661.491</v>
      </c>
      <c r="D20" s="40"/>
      <c r="E20" s="16"/>
      <c r="F20" s="16"/>
      <c r="G20" s="16"/>
      <c r="H20" s="16"/>
      <c r="I20" s="16"/>
      <c r="J20" s="16"/>
      <c r="K20" s="16"/>
      <c r="L20" s="16"/>
      <c r="M20" s="16"/>
      <c r="N20" s="20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0"/>
      <c r="AE20" s="20"/>
      <c r="AF20" s="20"/>
      <c r="AG20" s="20"/>
      <c r="AH20" s="16"/>
      <c r="AI20" s="16"/>
      <c r="AJ20" s="16">
        <f>SUM(D20:AI20)</f>
        <v>0</v>
      </c>
      <c r="AK20" s="36">
        <f t="shared" si="4"/>
        <v>-4661.491</v>
      </c>
      <c r="AL20" s="7"/>
      <c r="AM20" s="59" t="s">
        <v>18</v>
      </c>
      <c r="AN20" s="60">
        <f>AJ19</f>
        <v>38.830999999999996</v>
      </c>
      <c r="AO20" s="77"/>
      <c r="AP20" s="8"/>
    </row>
    <row r="21" spans="2:42" ht="15.75">
      <c r="B21" s="39" t="s">
        <v>19</v>
      </c>
      <c r="C21" s="40">
        <v>440.613</v>
      </c>
      <c r="D21" s="40"/>
      <c r="E21" s="16">
        <v>32.275</v>
      </c>
      <c r="F21" s="16"/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0"/>
      <c r="AE21" s="20"/>
      <c r="AF21" s="20"/>
      <c r="AG21" s="20"/>
      <c r="AH21" s="16"/>
      <c r="AI21" s="16"/>
      <c r="AJ21" s="16">
        <f>SUM(D21:AI21)</f>
        <v>32.275</v>
      </c>
      <c r="AK21" s="36">
        <f t="shared" si="4"/>
        <v>-408.338</v>
      </c>
      <c r="AL21" s="7"/>
      <c r="AM21" s="59" t="s">
        <v>20</v>
      </c>
      <c r="AN21" s="60">
        <f>AJ25</f>
        <v>4716.932</v>
      </c>
      <c r="AO21" s="77"/>
      <c r="AP21" s="8"/>
    </row>
    <row r="22" spans="2:42" ht="15.75">
      <c r="B22" s="39" t="s">
        <v>21</v>
      </c>
      <c r="C22" s="40">
        <v>1037.993</v>
      </c>
      <c r="D22" s="40"/>
      <c r="E22" s="16">
        <v>6.556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>
        <f>SUM(D22:AI22)</f>
        <v>6.556</v>
      </c>
      <c r="AK22" s="36">
        <f t="shared" si="4"/>
        <v>-1031.437</v>
      </c>
      <c r="AL22" s="7"/>
      <c r="AM22" s="59" t="s">
        <v>22</v>
      </c>
      <c r="AN22" s="60">
        <f>$AJ$31+$AJ$33</f>
        <v>27.353</v>
      </c>
      <c r="AO22" s="77"/>
      <c r="AP22" s="8"/>
    </row>
    <row r="23" spans="2:42" ht="34.5" customHeight="1">
      <c r="B23" s="37" t="s">
        <v>69</v>
      </c>
      <c r="C23" s="70">
        <f>SUM(C24)</f>
        <v>4879.827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0</v>
      </c>
      <c r="AC23" s="70">
        <f t="shared" si="6"/>
        <v>0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0</v>
      </c>
      <c r="AK23" s="36">
        <f t="shared" si="4"/>
        <v>-4879.827</v>
      </c>
      <c r="AL23" s="7"/>
      <c r="AM23" s="59" t="s">
        <v>23</v>
      </c>
      <c r="AN23" s="60">
        <f>$AJ$34+$AJ$35+$AJ$38+$AJ$43+$AJ$47+$AJ$37+$AJ$36</f>
        <v>0</v>
      </c>
      <c r="AO23" s="77"/>
      <c r="AP23" s="8"/>
    </row>
    <row r="24" spans="2:42" ht="15" customHeight="1">
      <c r="B24" s="39" t="s">
        <v>21</v>
      </c>
      <c r="C24" s="40">
        <v>4879.827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0">
        <f>SUM(D24:AH24)</f>
        <v>0</v>
      </c>
      <c r="AK24" s="36"/>
      <c r="AL24" s="7"/>
      <c r="AM24" s="59" t="s">
        <v>24</v>
      </c>
      <c r="AN24" s="60">
        <f>$AJ$68+$AJ$71+$AJ$79+$AJ$64+$AJ$66</f>
        <v>49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32609.104000000003</v>
      </c>
      <c r="D25" s="38">
        <f t="shared" si="7"/>
        <v>0</v>
      </c>
      <c r="E25" s="38">
        <f t="shared" si="7"/>
        <v>4716.932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0</v>
      </c>
      <c r="V25" s="38">
        <f t="shared" si="7"/>
        <v>0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0</v>
      </c>
      <c r="AA25" s="38">
        <f t="shared" si="7"/>
        <v>0</v>
      </c>
      <c r="AB25" s="38">
        <f t="shared" si="7"/>
        <v>0</v>
      </c>
      <c r="AC25" s="38">
        <f t="shared" si="7"/>
        <v>0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4716.932</v>
      </c>
      <c r="AK25" s="36">
        <f t="shared" si="4"/>
        <v>-27892.172000000002</v>
      </c>
      <c r="AL25" s="2"/>
      <c r="AM25" s="59" t="s">
        <v>26</v>
      </c>
      <c r="AN25" s="60">
        <f>$AJ$54</f>
        <v>37.709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>
        <v>22383.309</v>
      </c>
      <c r="D26" s="40"/>
      <c r="E26" s="16">
        <f>1402.733+3251.365+5.05</f>
        <v>4659.148</v>
      </c>
      <c r="F26" s="16"/>
      <c r="G26" s="16"/>
      <c r="H26" s="16"/>
      <c r="I26" s="16"/>
      <c r="J26" s="16"/>
      <c r="K26" s="16"/>
      <c r="L26" s="16"/>
      <c r="M26" s="16"/>
      <c r="N26" s="2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0"/>
      <c r="AE26" s="20"/>
      <c r="AF26" s="20"/>
      <c r="AG26" s="20"/>
      <c r="AH26" s="16"/>
      <c r="AI26" s="16"/>
      <c r="AJ26" s="16">
        <f>SUM(D26:AI26)</f>
        <v>4659.148</v>
      </c>
      <c r="AK26" s="36">
        <f t="shared" si="4"/>
        <v>-17724.161</v>
      </c>
      <c r="AL26" s="7"/>
      <c r="AM26" s="59" t="s">
        <v>28</v>
      </c>
      <c r="AN26" s="60">
        <f>$AJ$58</f>
        <v>15.559</v>
      </c>
      <c r="AO26" s="77"/>
      <c r="AP26" s="8"/>
    </row>
    <row r="27" spans="2:42" ht="15.75">
      <c r="B27" s="39" t="s">
        <v>25</v>
      </c>
      <c r="C27" s="40">
        <v>42.044</v>
      </c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0</v>
      </c>
      <c r="AK27" s="36">
        <f t="shared" si="4"/>
        <v>-42.044</v>
      </c>
      <c r="AL27" s="7"/>
      <c r="AM27" s="59" t="s">
        <v>29</v>
      </c>
      <c r="AN27" s="60">
        <f>$AJ$51+$AJ$76+$AJ$83+$AJ$84+$AJ$90+$AJ$78+$AJ$80+$AJ$85+$AJ$86+$AJ$88+$AJ$82+$AJ$87+$AJ$23</f>
        <v>34.12</v>
      </c>
      <c r="AO27" s="77"/>
      <c r="AP27" s="8"/>
    </row>
    <row r="28" spans="2:42" ht="15.75">
      <c r="B28" s="39" t="s">
        <v>27</v>
      </c>
      <c r="C28" s="40">
        <v>2122.749</v>
      </c>
      <c r="D28" s="40"/>
      <c r="E28" s="16">
        <v>1.547</v>
      </c>
      <c r="F28" s="16"/>
      <c r="G28" s="16"/>
      <c r="H28" s="16"/>
      <c r="I28" s="16"/>
      <c r="J28" s="16"/>
      <c r="K28" s="16"/>
      <c r="L28" s="16"/>
      <c r="M28" s="16"/>
      <c r="N28" s="2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20"/>
      <c r="AE28" s="20"/>
      <c r="AF28" s="20"/>
      <c r="AG28" s="20"/>
      <c r="AH28" s="16"/>
      <c r="AI28" s="16"/>
      <c r="AJ28" s="16">
        <f>SUM(D28:AI28)</f>
        <v>1.547</v>
      </c>
      <c r="AK28" s="36">
        <f t="shared" si="4"/>
        <v>-2121.2019999999998</v>
      </c>
      <c r="AL28" s="7"/>
      <c r="AO28" s="77"/>
      <c r="AP28" s="8"/>
    </row>
    <row r="29" spans="2:42" ht="15.75">
      <c r="B29" s="39" t="s">
        <v>19</v>
      </c>
      <c r="C29" s="40">
        <v>6540.876</v>
      </c>
      <c r="D29" s="40"/>
      <c r="E29" s="16">
        <v>27.872</v>
      </c>
      <c r="F29" s="16"/>
      <c r="G29" s="16"/>
      <c r="H29" s="16"/>
      <c r="I29" s="16"/>
      <c r="J29" s="16"/>
      <c r="K29" s="16"/>
      <c r="L29" s="16"/>
      <c r="M29" s="16"/>
      <c r="N29" s="2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0"/>
      <c r="AE29" s="20"/>
      <c r="AF29" s="20"/>
      <c r="AG29" s="20"/>
      <c r="AH29" s="16"/>
      <c r="AI29" s="16"/>
      <c r="AJ29" s="16">
        <f>SUM(D29:AI29)</f>
        <v>27.872</v>
      </c>
      <c r="AK29" s="36">
        <f t="shared" si="4"/>
        <v>-6513.004</v>
      </c>
      <c r="AL29" s="7"/>
      <c r="AO29" s="77"/>
      <c r="AP29" s="8"/>
    </row>
    <row r="30" spans="2:42" ht="15.75">
      <c r="B30" s="39" t="s">
        <v>21</v>
      </c>
      <c r="C30" s="40">
        <v>1520.126</v>
      </c>
      <c r="D30" s="40"/>
      <c r="E30" s="16">
        <v>28.365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>
        <f>SUM(D30:AI30)</f>
        <v>28.365</v>
      </c>
      <c r="AK30" s="36">
        <f t="shared" si="4"/>
        <v>-1491.761</v>
      </c>
      <c r="AL30" s="7"/>
      <c r="AM30" s="77"/>
      <c r="AN30" s="78"/>
      <c r="AO30" s="77"/>
      <c r="AP30" s="8"/>
    </row>
    <row r="31" spans="2:42" ht="29.25">
      <c r="B31" s="37" t="s">
        <v>73</v>
      </c>
      <c r="C31" s="38">
        <f>C32</f>
        <v>3046.702</v>
      </c>
      <c r="D31" s="38">
        <f aca="true" t="shared" si="8" ref="D31:AJ31">D32</f>
        <v>0</v>
      </c>
      <c r="E31" s="38">
        <f t="shared" si="8"/>
        <v>27.353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0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0</v>
      </c>
      <c r="T31" s="38">
        <f t="shared" si="8"/>
        <v>0</v>
      </c>
      <c r="U31" s="38">
        <f t="shared" si="8"/>
        <v>0</v>
      </c>
      <c r="V31" s="38">
        <f t="shared" si="8"/>
        <v>0</v>
      </c>
      <c r="W31" s="38">
        <f t="shared" si="8"/>
        <v>0</v>
      </c>
      <c r="X31" s="38">
        <f t="shared" si="8"/>
        <v>0</v>
      </c>
      <c r="Y31" s="38">
        <f t="shared" si="8"/>
        <v>0</v>
      </c>
      <c r="Z31" s="38">
        <f t="shared" si="8"/>
        <v>0</v>
      </c>
      <c r="AA31" s="38">
        <f t="shared" si="8"/>
        <v>0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27.353</v>
      </c>
      <c r="AK31" s="36">
        <f t="shared" si="4"/>
        <v>-3019.349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3046.702</v>
      </c>
      <c r="D32" s="29"/>
      <c r="E32" s="20">
        <v>27.353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27.353</v>
      </c>
      <c r="AK32" s="36">
        <f t="shared" si="4"/>
        <v>-3019.349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>
        <v>1526.681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0</v>
      </c>
      <c r="AK34" s="36">
        <f t="shared" si="4"/>
        <v>-1526.681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>
        <v>160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-160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52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-52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>
        <v>71.497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0</v>
      </c>
      <c r="AK37" s="36">
        <f t="shared" si="4"/>
        <v>-71.497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1274.536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0</v>
      </c>
      <c r="AA38" s="38">
        <f t="shared" si="9"/>
        <v>0</v>
      </c>
      <c r="AB38" s="38">
        <f t="shared" si="9"/>
        <v>0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0</v>
      </c>
      <c r="AK38" s="36">
        <f t="shared" si="4"/>
        <v>-1274.536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1057.694</v>
      </c>
      <c r="D39" s="40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16"/>
      <c r="P39" s="16"/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/>
      <c r="AB39" s="16"/>
      <c r="AC39" s="16"/>
      <c r="AD39" s="20"/>
      <c r="AE39" s="20"/>
      <c r="AF39" s="20"/>
      <c r="AG39" s="20"/>
      <c r="AH39" s="16"/>
      <c r="AI39" s="16"/>
      <c r="AJ39" s="16">
        <f>SUM(D39:AI39)</f>
        <v>0</v>
      </c>
      <c r="AK39" s="36">
        <f t="shared" si="4"/>
        <v>-1057.694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8.285</v>
      </c>
      <c r="D40" s="40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</v>
      </c>
      <c r="AK40" s="36">
        <f t="shared" si="4"/>
        <v>-8.285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136.136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4"/>
      <c r="W41" s="16"/>
      <c r="X41" s="16"/>
      <c r="Y41" s="16"/>
      <c r="Z41" s="44"/>
      <c r="AA41" s="16"/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0</v>
      </c>
      <c r="AK41" s="36">
        <f t="shared" si="4"/>
        <v>-136.136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72.421</v>
      </c>
      <c r="D42" s="4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>
        <f>SUM(D42:AI42)</f>
        <v>0</v>
      </c>
      <c r="AK42" s="36">
        <f t="shared" si="4"/>
        <v>-72.421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310.934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0</v>
      </c>
      <c r="AK43" s="36">
        <f t="shared" si="4"/>
        <v>-310.934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256.242</v>
      </c>
      <c r="D44" s="40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/>
      <c r="V44" s="44"/>
      <c r="W44" s="16"/>
      <c r="X44" s="16"/>
      <c r="Y44" s="16"/>
      <c r="Z44" s="44"/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0</v>
      </c>
      <c r="AK44" s="36">
        <f t="shared" si="4"/>
        <v>-256.242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30.105</v>
      </c>
      <c r="D45" s="40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0</v>
      </c>
      <c r="AK45" s="36">
        <f t="shared" si="4"/>
        <v>-30.105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24.587</v>
      </c>
      <c r="D46" s="40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0</v>
      </c>
      <c r="AK46" s="36">
        <f t="shared" si="4"/>
        <v>-24.587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225.161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0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0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0</v>
      </c>
      <c r="AK47" s="36">
        <f t="shared" si="4"/>
        <v>-225.161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210.946</v>
      </c>
      <c r="D48" s="40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0</v>
      </c>
      <c r="AK48" s="36">
        <f t="shared" si="4"/>
        <v>-210.946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10.245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0</v>
      </c>
      <c r="AK49" s="36">
        <f t="shared" si="4"/>
        <v>-10.245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3.97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0</v>
      </c>
      <c r="AK50" s="36">
        <f t="shared" si="4"/>
        <v>-3.97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51.96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-51.96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51.96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-51.96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2589.077</v>
      </c>
      <c r="D54" s="38">
        <f t="shared" si="13"/>
        <v>0</v>
      </c>
      <c r="E54" s="38">
        <f t="shared" si="13"/>
        <v>37.709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0</v>
      </c>
      <c r="T54" s="38">
        <f t="shared" si="13"/>
        <v>0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</v>
      </c>
      <c r="Z54" s="38">
        <f t="shared" si="13"/>
        <v>0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37.709</v>
      </c>
      <c r="AK54" s="36">
        <f t="shared" si="4"/>
        <v>-2551.3680000000004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1594.657</v>
      </c>
      <c r="D55" s="40"/>
      <c r="E55" s="16">
        <v>0.749</v>
      </c>
      <c r="F55" s="16"/>
      <c r="G55" s="16"/>
      <c r="H55" s="16"/>
      <c r="I55" s="16"/>
      <c r="J55" s="16"/>
      <c r="K55" s="16"/>
      <c r="L55" s="16"/>
      <c r="M55" s="16"/>
      <c r="N55" s="20"/>
      <c r="O55" s="16"/>
      <c r="P55" s="16"/>
      <c r="Q55" s="16"/>
      <c r="R55" s="16"/>
      <c r="S55" s="16"/>
      <c r="T55" s="16"/>
      <c r="U55" s="16"/>
      <c r="V55" s="44"/>
      <c r="W55" s="16"/>
      <c r="X55" s="16"/>
      <c r="Y55" s="16"/>
      <c r="Z55" s="44"/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0.749</v>
      </c>
      <c r="AK55" s="36">
        <f t="shared" si="4"/>
        <v>-1593.908</v>
      </c>
    </row>
    <row r="56" spans="2:37" ht="15.75">
      <c r="B56" s="39" t="s">
        <v>19</v>
      </c>
      <c r="C56" s="40">
        <v>816.247</v>
      </c>
      <c r="D56" s="40"/>
      <c r="E56" s="16">
        <v>36.71</v>
      </c>
      <c r="F56" s="16"/>
      <c r="G56" s="16"/>
      <c r="H56" s="16"/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/>
      <c r="T56" s="16"/>
      <c r="U56" s="16"/>
      <c r="V56" s="44"/>
      <c r="W56" s="16"/>
      <c r="X56" s="16"/>
      <c r="Y56" s="16"/>
      <c r="Z56" s="44"/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36.71</v>
      </c>
      <c r="AK56" s="36">
        <f t="shared" si="4"/>
        <v>-779.5369999999999</v>
      </c>
    </row>
    <row r="57" spans="2:38" ht="15.75">
      <c r="B57" s="39" t="s">
        <v>21</v>
      </c>
      <c r="C57" s="40">
        <v>178.173</v>
      </c>
      <c r="D57" s="40"/>
      <c r="E57" s="16">
        <v>0.25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0.25</v>
      </c>
      <c r="AK57" s="36">
        <f t="shared" si="4"/>
        <v>-177.923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1120.316</v>
      </c>
      <c r="D58" s="38">
        <f aca="true" t="shared" si="14" ref="D58:AJ58">SUM(D59:D63)</f>
        <v>0</v>
      </c>
      <c r="E58" s="38">
        <f t="shared" si="14"/>
        <v>15.559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0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0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15.559</v>
      </c>
      <c r="AK58" s="36">
        <f t="shared" si="4"/>
        <v>-1104.757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648.686</v>
      </c>
      <c r="D59" s="40"/>
      <c r="E59" s="16"/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/>
      <c r="AA59" s="16"/>
      <c r="AB59" s="16"/>
      <c r="AC59" s="16"/>
      <c r="AD59" s="20"/>
      <c r="AE59" s="20"/>
      <c r="AF59" s="20"/>
      <c r="AG59" s="20"/>
      <c r="AH59" s="16"/>
      <c r="AI59" s="16"/>
      <c r="AJ59" s="16">
        <f>SUM(D59:AI59)</f>
        <v>0</v>
      </c>
      <c r="AK59" s="36">
        <f t="shared" si="4"/>
        <v>-648.686</v>
      </c>
    </row>
    <row r="60" spans="2:37" ht="15.75">
      <c r="B60" s="39" t="s">
        <v>25</v>
      </c>
      <c r="C60" s="40">
        <v>6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-6</v>
      </c>
    </row>
    <row r="61" spans="2:37" ht="15.75">
      <c r="B61" s="39" t="s">
        <v>19</v>
      </c>
      <c r="C61" s="40">
        <v>96.283</v>
      </c>
      <c r="D61" s="40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/>
      <c r="W61" s="16"/>
      <c r="X61" s="16"/>
      <c r="Y61" s="16"/>
      <c r="Z61" s="16"/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0</v>
      </c>
      <c r="AK61" s="36">
        <f t="shared" si="4"/>
        <v>-96.283</v>
      </c>
    </row>
    <row r="62" spans="2:37" ht="15.75">
      <c r="B62" s="39" t="s">
        <v>31</v>
      </c>
      <c r="C62" s="40">
        <v>89.903</v>
      </c>
      <c r="D62" s="40"/>
      <c r="E62" s="16">
        <v>1.5</v>
      </c>
      <c r="F62" s="16"/>
      <c r="G62" s="16"/>
      <c r="H62" s="16"/>
      <c r="I62" s="16"/>
      <c r="J62" s="16"/>
      <c r="K62" s="16"/>
      <c r="L62" s="16"/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1.5</v>
      </c>
      <c r="AK62" s="36">
        <f t="shared" si="4"/>
        <v>-88.403</v>
      </c>
    </row>
    <row r="63" spans="2:37" ht="15.75">
      <c r="B63" s="39" t="s">
        <v>21</v>
      </c>
      <c r="C63" s="40">
        <v>279.444</v>
      </c>
      <c r="D63" s="40"/>
      <c r="E63" s="16">
        <v>14.059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>
        <f>SUM(D63:AI63)</f>
        <v>14.059</v>
      </c>
      <c r="AK63" s="36">
        <f t="shared" si="4"/>
        <v>-265.385</v>
      </c>
    </row>
    <row r="64" spans="2:37" ht="43.5">
      <c r="B64" s="37" t="s">
        <v>70</v>
      </c>
      <c r="C64" s="38">
        <f>C65</f>
        <v>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0</v>
      </c>
    </row>
    <row r="65" spans="2:37" ht="15.75">
      <c r="B65" s="39" t="s">
        <v>31</v>
      </c>
      <c r="C65" s="40"/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3889.4049999999997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0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0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0</v>
      </c>
      <c r="AK68" s="36">
        <f t="shared" si="4"/>
        <v>-3889.4049999999997</v>
      </c>
    </row>
    <row r="69" spans="2:37" ht="15.75">
      <c r="B69" s="50" t="s">
        <v>46</v>
      </c>
      <c r="C69" s="29">
        <v>122.854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-122.854</v>
      </c>
    </row>
    <row r="70" spans="2:37" ht="15.75">
      <c r="B70" s="50" t="s">
        <v>31</v>
      </c>
      <c r="C70" s="29">
        <v>3766.551</v>
      </c>
      <c r="D70" s="2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0</v>
      </c>
      <c r="AK70" s="36">
        <f t="shared" si="4"/>
        <v>-3766.551</v>
      </c>
    </row>
    <row r="71" spans="2:37" ht="15.75">
      <c r="B71" s="37" t="s">
        <v>47</v>
      </c>
      <c r="C71" s="38">
        <f>C72+C73</f>
        <v>214.435</v>
      </c>
      <c r="D71" s="38">
        <f aca="true" t="shared" si="18" ref="D71:AJ71">D72+D73</f>
        <v>0</v>
      </c>
      <c r="E71" s="38">
        <f t="shared" si="18"/>
        <v>49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49</v>
      </c>
      <c r="AK71" s="36">
        <f t="shared" si="4"/>
        <v>-165.435</v>
      </c>
    </row>
    <row r="72" spans="2:37" ht="15.75">
      <c r="B72" s="39" t="s">
        <v>19</v>
      </c>
      <c r="C72" s="29">
        <v>209.29</v>
      </c>
      <c r="D72" s="29"/>
      <c r="E72" s="20">
        <v>49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49</v>
      </c>
      <c r="AK72" s="36">
        <f t="shared" si="4"/>
        <v>-160.29</v>
      </c>
    </row>
    <row r="73" spans="2:37" ht="15.75">
      <c r="B73" s="39" t="s">
        <v>31</v>
      </c>
      <c r="C73" s="29">
        <v>5.145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36">
        <f t="shared" si="4"/>
        <v>-5.145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500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-500</v>
      </c>
      <c r="AL76" s="23"/>
    </row>
    <row r="77" spans="2:49" s="23" customFormat="1" ht="15.75">
      <c r="B77" s="50" t="s">
        <v>46</v>
      </c>
      <c r="C77" s="29">
        <v>500</v>
      </c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-500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90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24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0</v>
      </c>
      <c r="AK80" s="36">
        <f t="shared" si="4"/>
        <v>-24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254.735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0</v>
      </c>
      <c r="AK82" s="36">
        <f t="shared" si="4"/>
        <v>-254.735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>
        <v>120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-120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2266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-2266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34.12</v>
      </c>
      <c r="D86" s="38"/>
      <c r="E86" s="38">
        <v>34.12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34.12</v>
      </c>
      <c r="AK86" s="36">
        <f aca="true" t="shared" si="21" ref="AK86:AK98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57.75">
      <c r="B89" s="37" t="s">
        <v>75</v>
      </c>
      <c r="C89" s="38">
        <v>15</v>
      </c>
      <c r="D89" s="38"/>
      <c r="E89" s="38">
        <v>15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>SUM(D89:AI89)</f>
        <v>15</v>
      </c>
      <c r="AK89" s="36">
        <f>AJ89-C89</f>
        <v>0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43.5">
      <c r="B90" s="37" t="s">
        <v>57</v>
      </c>
      <c r="C90" s="38">
        <v>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>
        <f t="shared" si="20"/>
        <v>0</v>
      </c>
      <c r="AK90" s="36">
        <f t="shared" si="21"/>
        <v>0</v>
      </c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2:49" s="1" customFormat="1" ht="15.75">
      <c r="B91" s="52" t="s">
        <v>58</v>
      </c>
      <c r="C91" s="53">
        <f>SUM(C92:C98)</f>
        <v>61375.587</v>
      </c>
      <c r="D91" s="53">
        <f aca="true" t="shared" si="22" ref="D91:AH91">SUM(D92:D98)</f>
        <v>0</v>
      </c>
      <c r="E91" s="53">
        <f t="shared" si="22"/>
        <v>4934.503999999999</v>
      </c>
      <c r="F91" s="53">
        <f t="shared" si="22"/>
        <v>0</v>
      </c>
      <c r="G91" s="53">
        <f t="shared" si="22"/>
        <v>0</v>
      </c>
      <c r="H91" s="53">
        <f t="shared" si="22"/>
        <v>0</v>
      </c>
      <c r="I91" s="53">
        <f t="shared" si="22"/>
        <v>0</v>
      </c>
      <c r="J91" s="53">
        <f t="shared" si="22"/>
        <v>0</v>
      </c>
      <c r="K91" s="53">
        <f t="shared" si="22"/>
        <v>0</v>
      </c>
      <c r="L91" s="53">
        <f t="shared" si="22"/>
        <v>0</v>
      </c>
      <c r="M91" s="53">
        <f t="shared" si="22"/>
        <v>0</v>
      </c>
      <c r="N91" s="53">
        <f t="shared" si="22"/>
        <v>0</v>
      </c>
      <c r="O91" s="53">
        <f t="shared" si="22"/>
        <v>0</v>
      </c>
      <c r="P91" s="53">
        <f t="shared" si="22"/>
        <v>0</v>
      </c>
      <c r="Q91" s="53">
        <f t="shared" si="22"/>
        <v>0</v>
      </c>
      <c r="R91" s="53">
        <f t="shared" si="22"/>
        <v>0</v>
      </c>
      <c r="S91" s="53">
        <f t="shared" si="22"/>
        <v>0</v>
      </c>
      <c r="T91" s="53">
        <f t="shared" si="22"/>
        <v>0</v>
      </c>
      <c r="U91" s="53">
        <f t="shared" si="22"/>
        <v>0</v>
      </c>
      <c r="V91" s="53">
        <f t="shared" si="22"/>
        <v>0</v>
      </c>
      <c r="W91" s="53">
        <f t="shared" si="22"/>
        <v>0</v>
      </c>
      <c r="X91" s="53">
        <f t="shared" si="22"/>
        <v>0</v>
      </c>
      <c r="Y91" s="53">
        <f t="shared" si="22"/>
        <v>0</v>
      </c>
      <c r="Z91" s="53">
        <f t="shared" si="22"/>
        <v>0</v>
      </c>
      <c r="AA91" s="53">
        <f t="shared" si="22"/>
        <v>0</v>
      </c>
      <c r="AB91" s="53">
        <f t="shared" si="22"/>
        <v>0</v>
      </c>
      <c r="AC91" s="53">
        <f t="shared" si="22"/>
        <v>0</v>
      </c>
      <c r="AD91" s="53">
        <f t="shared" si="22"/>
        <v>0</v>
      </c>
      <c r="AE91" s="53">
        <f t="shared" si="22"/>
        <v>0</v>
      </c>
      <c r="AF91" s="53">
        <f t="shared" si="22"/>
        <v>0</v>
      </c>
      <c r="AG91" s="53">
        <f t="shared" si="22"/>
        <v>0</v>
      </c>
      <c r="AH91" s="53">
        <f t="shared" si="22"/>
        <v>0</v>
      </c>
      <c r="AI91" s="53">
        <f>SUM(AI92:AI98)</f>
        <v>0</v>
      </c>
      <c r="AJ91" s="53">
        <f>SUM(AJ92:AJ98)</f>
        <v>4934.503999999999</v>
      </c>
      <c r="AK91" s="36">
        <f t="shared" si="21"/>
        <v>-56441.083</v>
      </c>
      <c r="AL91" s="5"/>
      <c r="AM91" s="3"/>
      <c r="AN91" s="3"/>
      <c r="AO91" s="3"/>
      <c r="AP91" s="4"/>
      <c r="AQ91" s="4"/>
      <c r="AR91" s="4"/>
      <c r="AS91" s="4"/>
      <c r="AT91" s="4"/>
      <c r="AU91" s="4"/>
      <c r="AV91" s="4"/>
      <c r="AW91" s="4"/>
    </row>
    <row r="92" spans="1:49" s="8" customFormat="1" ht="15.75">
      <c r="A92" s="5"/>
      <c r="B92" s="39" t="s">
        <v>17</v>
      </c>
      <c r="C92" s="40">
        <f aca="true" t="shared" si="23" ref="C92:AJ92">C20+C39+C44+C48+C52+C55+C59+C26</f>
        <v>30813.025</v>
      </c>
      <c r="D92" s="40">
        <f t="shared" si="23"/>
        <v>0</v>
      </c>
      <c r="E92" s="40">
        <f t="shared" si="23"/>
        <v>4659.897</v>
      </c>
      <c r="F92" s="40">
        <f t="shared" si="23"/>
        <v>0</v>
      </c>
      <c r="G92" s="40">
        <f t="shared" si="23"/>
        <v>0</v>
      </c>
      <c r="H92" s="40">
        <f t="shared" si="23"/>
        <v>0</v>
      </c>
      <c r="I92" s="40">
        <f t="shared" si="23"/>
        <v>0</v>
      </c>
      <c r="J92" s="40">
        <f t="shared" si="23"/>
        <v>0</v>
      </c>
      <c r="K92" s="40">
        <f t="shared" si="23"/>
        <v>0</v>
      </c>
      <c r="L92" s="40">
        <f t="shared" si="23"/>
        <v>0</v>
      </c>
      <c r="M92" s="40">
        <f t="shared" si="23"/>
        <v>0</v>
      </c>
      <c r="N92" s="40">
        <f t="shared" si="23"/>
        <v>0</v>
      </c>
      <c r="O92" s="40">
        <f t="shared" si="23"/>
        <v>0</v>
      </c>
      <c r="P92" s="40">
        <f t="shared" si="23"/>
        <v>0</v>
      </c>
      <c r="Q92" s="40">
        <f t="shared" si="23"/>
        <v>0</v>
      </c>
      <c r="R92" s="40">
        <f t="shared" si="23"/>
        <v>0</v>
      </c>
      <c r="S92" s="40">
        <f t="shared" si="23"/>
        <v>0</v>
      </c>
      <c r="T92" s="40">
        <f t="shared" si="23"/>
        <v>0</v>
      </c>
      <c r="U92" s="40">
        <f t="shared" si="23"/>
        <v>0</v>
      </c>
      <c r="V92" s="40">
        <f t="shared" si="23"/>
        <v>0</v>
      </c>
      <c r="W92" s="40">
        <f t="shared" si="23"/>
        <v>0</v>
      </c>
      <c r="X92" s="40">
        <f t="shared" si="23"/>
        <v>0</v>
      </c>
      <c r="Y92" s="40">
        <f t="shared" si="23"/>
        <v>0</v>
      </c>
      <c r="Z92" s="40">
        <f t="shared" si="23"/>
        <v>0</v>
      </c>
      <c r="AA92" s="40">
        <f t="shared" si="23"/>
        <v>0</v>
      </c>
      <c r="AB92" s="40">
        <f t="shared" si="23"/>
        <v>0</v>
      </c>
      <c r="AC92" s="40">
        <f t="shared" si="23"/>
        <v>0</v>
      </c>
      <c r="AD92" s="40">
        <f t="shared" si="23"/>
        <v>0</v>
      </c>
      <c r="AE92" s="40">
        <f t="shared" si="23"/>
        <v>0</v>
      </c>
      <c r="AF92" s="40">
        <f t="shared" si="23"/>
        <v>0</v>
      </c>
      <c r="AG92" s="40">
        <f t="shared" si="23"/>
        <v>0</v>
      </c>
      <c r="AH92" s="40">
        <f t="shared" si="23"/>
        <v>0</v>
      </c>
      <c r="AI92" s="40">
        <f t="shared" si="23"/>
        <v>0</v>
      </c>
      <c r="AJ92" s="40">
        <f t="shared" si="23"/>
        <v>4659.897</v>
      </c>
      <c r="AK92" s="36">
        <f t="shared" si="21"/>
        <v>-26153.128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25</v>
      </c>
      <c r="C93" s="40">
        <f aca="true" t="shared" si="24" ref="C93:AJ93">C27+C40+C60</f>
        <v>56.32899999999999</v>
      </c>
      <c r="D93" s="40">
        <f t="shared" si="24"/>
        <v>0</v>
      </c>
      <c r="E93" s="40">
        <f t="shared" si="24"/>
        <v>0</v>
      </c>
      <c r="F93" s="40">
        <f t="shared" si="24"/>
        <v>0</v>
      </c>
      <c r="G93" s="40">
        <f t="shared" si="24"/>
        <v>0</v>
      </c>
      <c r="H93" s="40">
        <f t="shared" si="24"/>
        <v>0</v>
      </c>
      <c r="I93" s="40">
        <f t="shared" si="24"/>
        <v>0</v>
      </c>
      <c r="J93" s="40">
        <f t="shared" si="24"/>
        <v>0</v>
      </c>
      <c r="K93" s="40">
        <f t="shared" si="24"/>
        <v>0</v>
      </c>
      <c r="L93" s="40">
        <f t="shared" si="24"/>
        <v>0</v>
      </c>
      <c r="M93" s="40">
        <f t="shared" si="24"/>
        <v>0</v>
      </c>
      <c r="N93" s="40">
        <f t="shared" si="24"/>
        <v>0</v>
      </c>
      <c r="O93" s="40">
        <f t="shared" si="24"/>
        <v>0</v>
      </c>
      <c r="P93" s="40">
        <f t="shared" si="24"/>
        <v>0</v>
      </c>
      <c r="Q93" s="40">
        <f t="shared" si="24"/>
        <v>0</v>
      </c>
      <c r="R93" s="40">
        <f t="shared" si="24"/>
        <v>0</v>
      </c>
      <c r="S93" s="40">
        <f t="shared" si="24"/>
        <v>0</v>
      </c>
      <c r="T93" s="40">
        <f t="shared" si="24"/>
        <v>0</v>
      </c>
      <c r="U93" s="40">
        <f t="shared" si="24"/>
        <v>0</v>
      </c>
      <c r="V93" s="40">
        <f t="shared" si="24"/>
        <v>0</v>
      </c>
      <c r="W93" s="40">
        <f t="shared" si="24"/>
        <v>0</v>
      </c>
      <c r="X93" s="40">
        <f t="shared" si="24"/>
        <v>0</v>
      </c>
      <c r="Y93" s="40">
        <f t="shared" si="24"/>
        <v>0</v>
      </c>
      <c r="Z93" s="40">
        <f t="shared" si="24"/>
        <v>0</v>
      </c>
      <c r="AA93" s="40">
        <f t="shared" si="24"/>
        <v>0</v>
      </c>
      <c r="AB93" s="40">
        <f t="shared" si="24"/>
        <v>0</v>
      </c>
      <c r="AC93" s="40">
        <f t="shared" si="24"/>
        <v>0</v>
      </c>
      <c r="AD93" s="40">
        <f t="shared" si="24"/>
        <v>0</v>
      </c>
      <c r="AE93" s="40">
        <f t="shared" si="24"/>
        <v>0</v>
      </c>
      <c r="AF93" s="40">
        <f t="shared" si="24"/>
        <v>0</v>
      </c>
      <c r="AG93" s="40">
        <f t="shared" si="24"/>
        <v>0</v>
      </c>
      <c r="AH93" s="40">
        <f t="shared" si="24"/>
        <v>0</v>
      </c>
      <c r="AI93" s="40">
        <f t="shared" si="24"/>
        <v>0</v>
      </c>
      <c r="AJ93" s="40">
        <f t="shared" si="24"/>
        <v>0</v>
      </c>
      <c r="AK93" s="36">
        <f t="shared" si="21"/>
        <v>-56.32899999999999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27</v>
      </c>
      <c r="C94" s="40">
        <f aca="true" t="shared" si="25" ref="C94:AJ94">C28</f>
        <v>2122.749</v>
      </c>
      <c r="D94" s="40">
        <f t="shared" si="25"/>
        <v>0</v>
      </c>
      <c r="E94" s="40">
        <f t="shared" si="25"/>
        <v>1.547</v>
      </c>
      <c r="F94" s="40">
        <f t="shared" si="25"/>
        <v>0</v>
      </c>
      <c r="G94" s="40">
        <f t="shared" si="25"/>
        <v>0</v>
      </c>
      <c r="H94" s="40">
        <f t="shared" si="25"/>
        <v>0</v>
      </c>
      <c r="I94" s="40">
        <f t="shared" si="25"/>
        <v>0</v>
      </c>
      <c r="J94" s="40">
        <f t="shared" si="25"/>
        <v>0</v>
      </c>
      <c r="K94" s="40">
        <f t="shared" si="25"/>
        <v>0</v>
      </c>
      <c r="L94" s="40">
        <f t="shared" si="25"/>
        <v>0</v>
      </c>
      <c r="M94" s="40">
        <f t="shared" si="25"/>
        <v>0</v>
      </c>
      <c r="N94" s="40">
        <f t="shared" si="25"/>
        <v>0</v>
      </c>
      <c r="O94" s="40">
        <f t="shared" si="25"/>
        <v>0</v>
      </c>
      <c r="P94" s="40">
        <f t="shared" si="25"/>
        <v>0</v>
      </c>
      <c r="Q94" s="40">
        <f t="shared" si="25"/>
        <v>0</v>
      </c>
      <c r="R94" s="40">
        <f t="shared" si="25"/>
        <v>0</v>
      </c>
      <c r="S94" s="40">
        <f t="shared" si="25"/>
        <v>0</v>
      </c>
      <c r="T94" s="40">
        <f t="shared" si="25"/>
        <v>0</v>
      </c>
      <c r="U94" s="40">
        <f t="shared" si="25"/>
        <v>0</v>
      </c>
      <c r="V94" s="40">
        <f t="shared" si="25"/>
        <v>0</v>
      </c>
      <c r="W94" s="40">
        <f t="shared" si="25"/>
        <v>0</v>
      </c>
      <c r="X94" s="40">
        <f t="shared" si="25"/>
        <v>0</v>
      </c>
      <c r="Y94" s="40">
        <f t="shared" si="25"/>
        <v>0</v>
      </c>
      <c r="Z94" s="40">
        <f t="shared" si="25"/>
        <v>0</v>
      </c>
      <c r="AA94" s="40">
        <f t="shared" si="25"/>
        <v>0</v>
      </c>
      <c r="AB94" s="40">
        <f t="shared" si="25"/>
        <v>0</v>
      </c>
      <c r="AC94" s="40">
        <f t="shared" si="25"/>
        <v>0</v>
      </c>
      <c r="AD94" s="40">
        <f t="shared" si="25"/>
        <v>0</v>
      </c>
      <c r="AE94" s="40">
        <f t="shared" si="25"/>
        <v>0</v>
      </c>
      <c r="AF94" s="40">
        <f t="shared" si="25"/>
        <v>0</v>
      </c>
      <c r="AG94" s="40">
        <f t="shared" si="25"/>
        <v>0</v>
      </c>
      <c r="AH94" s="40">
        <f t="shared" si="25"/>
        <v>0</v>
      </c>
      <c r="AI94" s="40">
        <f t="shared" si="25"/>
        <v>0</v>
      </c>
      <c r="AJ94" s="40">
        <f t="shared" si="25"/>
        <v>1.547</v>
      </c>
      <c r="AK94" s="36">
        <f t="shared" si="21"/>
        <v>-2121.2019999999998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19</v>
      </c>
      <c r="C95" s="40">
        <f aca="true" t="shared" si="26" ref="C95:AJ95">C21+C29+C41+C45+C49+C56+C61+C72</f>
        <v>8279.795000000002</v>
      </c>
      <c r="D95" s="40">
        <f t="shared" si="26"/>
        <v>0</v>
      </c>
      <c r="E95" s="40">
        <f t="shared" si="26"/>
        <v>145.857</v>
      </c>
      <c r="F95" s="40">
        <f t="shared" si="26"/>
        <v>0</v>
      </c>
      <c r="G95" s="40">
        <f t="shared" si="26"/>
        <v>0</v>
      </c>
      <c r="H95" s="40">
        <f t="shared" si="26"/>
        <v>0</v>
      </c>
      <c r="I95" s="40">
        <f t="shared" si="26"/>
        <v>0</v>
      </c>
      <c r="J95" s="40">
        <f t="shared" si="26"/>
        <v>0</v>
      </c>
      <c r="K95" s="40">
        <f t="shared" si="26"/>
        <v>0</v>
      </c>
      <c r="L95" s="40">
        <f t="shared" si="26"/>
        <v>0</v>
      </c>
      <c r="M95" s="40">
        <f t="shared" si="26"/>
        <v>0</v>
      </c>
      <c r="N95" s="40">
        <f t="shared" si="26"/>
        <v>0</v>
      </c>
      <c r="O95" s="40">
        <f t="shared" si="26"/>
        <v>0</v>
      </c>
      <c r="P95" s="40">
        <f t="shared" si="26"/>
        <v>0</v>
      </c>
      <c r="Q95" s="40">
        <f t="shared" si="26"/>
        <v>0</v>
      </c>
      <c r="R95" s="40">
        <f t="shared" si="26"/>
        <v>0</v>
      </c>
      <c r="S95" s="40">
        <f t="shared" si="26"/>
        <v>0</v>
      </c>
      <c r="T95" s="40">
        <f t="shared" si="26"/>
        <v>0</v>
      </c>
      <c r="U95" s="40">
        <f t="shared" si="26"/>
        <v>0</v>
      </c>
      <c r="V95" s="40">
        <f t="shared" si="26"/>
        <v>0</v>
      </c>
      <c r="W95" s="40">
        <f t="shared" si="26"/>
        <v>0</v>
      </c>
      <c r="X95" s="40">
        <f t="shared" si="26"/>
        <v>0</v>
      </c>
      <c r="Y95" s="40">
        <f t="shared" si="26"/>
        <v>0</v>
      </c>
      <c r="Z95" s="40">
        <f t="shared" si="26"/>
        <v>0</v>
      </c>
      <c r="AA95" s="40">
        <f t="shared" si="26"/>
        <v>0</v>
      </c>
      <c r="AB95" s="40">
        <f t="shared" si="26"/>
        <v>0</v>
      </c>
      <c r="AC95" s="40">
        <f t="shared" si="26"/>
        <v>0</v>
      </c>
      <c r="AD95" s="40">
        <f t="shared" si="26"/>
        <v>0</v>
      </c>
      <c r="AE95" s="40">
        <f t="shared" si="26"/>
        <v>0</v>
      </c>
      <c r="AF95" s="40">
        <f t="shared" si="26"/>
        <v>0</v>
      </c>
      <c r="AG95" s="40">
        <f t="shared" si="26"/>
        <v>0</v>
      </c>
      <c r="AH95" s="40">
        <f t="shared" si="26"/>
        <v>0</v>
      </c>
      <c r="AI95" s="40">
        <f t="shared" si="26"/>
        <v>0</v>
      </c>
      <c r="AJ95" s="40">
        <f t="shared" si="26"/>
        <v>145.857</v>
      </c>
      <c r="AK95" s="36">
        <f t="shared" si="21"/>
        <v>-8133.938000000002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43</v>
      </c>
      <c r="C96" s="40">
        <f aca="true" t="shared" si="27" ref="C96:AJ96">C79</f>
        <v>0</v>
      </c>
      <c r="D96" s="40">
        <f t="shared" si="27"/>
        <v>0</v>
      </c>
      <c r="E96" s="40">
        <f t="shared" si="27"/>
        <v>0</v>
      </c>
      <c r="F96" s="40">
        <f t="shared" si="27"/>
        <v>0</v>
      </c>
      <c r="G96" s="40">
        <f t="shared" si="27"/>
        <v>0</v>
      </c>
      <c r="H96" s="40">
        <f t="shared" si="27"/>
        <v>0</v>
      </c>
      <c r="I96" s="40">
        <f t="shared" si="27"/>
        <v>0</v>
      </c>
      <c r="J96" s="40">
        <f t="shared" si="27"/>
        <v>0</v>
      </c>
      <c r="K96" s="40">
        <f t="shared" si="27"/>
        <v>0</v>
      </c>
      <c r="L96" s="40">
        <f t="shared" si="27"/>
        <v>0</v>
      </c>
      <c r="M96" s="40">
        <f t="shared" si="27"/>
        <v>0</v>
      </c>
      <c r="N96" s="40">
        <f t="shared" si="27"/>
        <v>0</v>
      </c>
      <c r="O96" s="40">
        <f t="shared" si="27"/>
        <v>0</v>
      </c>
      <c r="P96" s="40">
        <f t="shared" si="27"/>
        <v>0</v>
      </c>
      <c r="Q96" s="40">
        <f t="shared" si="27"/>
        <v>0</v>
      </c>
      <c r="R96" s="40">
        <f t="shared" si="27"/>
        <v>0</v>
      </c>
      <c r="S96" s="40">
        <f t="shared" si="27"/>
        <v>0</v>
      </c>
      <c r="T96" s="40">
        <f t="shared" si="27"/>
        <v>0</v>
      </c>
      <c r="U96" s="40">
        <f t="shared" si="27"/>
        <v>0</v>
      </c>
      <c r="V96" s="40">
        <f t="shared" si="27"/>
        <v>0</v>
      </c>
      <c r="W96" s="40">
        <f t="shared" si="27"/>
        <v>0</v>
      </c>
      <c r="X96" s="40">
        <f t="shared" si="27"/>
        <v>0</v>
      </c>
      <c r="Y96" s="40">
        <f t="shared" si="27"/>
        <v>0</v>
      </c>
      <c r="Z96" s="40">
        <f t="shared" si="27"/>
        <v>0</v>
      </c>
      <c r="AA96" s="40">
        <f t="shared" si="27"/>
        <v>0</v>
      </c>
      <c r="AB96" s="40">
        <f t="shared" si="27"/>
        <v>0</v>
      </c>
      <c r="AC96" s="40">
        <f t="shared" si="27"/>
        <v>0</v>
      </c>
      <c r="AD96" s="40">
        <f t="shared" si="27"/>
        <v>0</v>
      </c>
      <c r="AE96" s="40">
        <f t="shared" si="27"/>
        <v>0</v>
      </c>
      <c r="AF96" s="40">
        <f t="shared" si="27"/>
        <v>0</v>
      </c>
      <c r="AG96" s="40">
        <f t="shared" si="27"/>
        <v>0</v>
      </c>
      <c r="AH96" s="40">
        <f t="shared" si="27"/>
        <v>0</v>
      </c>
      <c r="AI96" s="40">
        <f t="shared" si="27"/>
        <v>0</v>
      </c>
      <c r="AJ96" s="40">
        <f t="shared" si="27"/>
        <v>0</v>
      </c>
      <c r="AK96" s="36">
        <f t="shared" si="21"/>
        <v>0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31</v>
      </c>
      <c r="C97" s="40">
        <f aca="true" t="shared" si="28" ref="C97:AJ97">C32+C53+C62+C70+C33+C73+C85+C86+C88+C65+C82+C67+C87</f>
        <v>7249.116</v>
      </c>
      <c r="D97" s="40">
        <f t="shared" si="28"/>
        <v>0</v>
      </c>
      <c r="E97" s="40">
        <f t="shared" si="28"/>
        <v>62.973</v>
      </c>
      <c r="F97" s="40">
        <f t="shared" si="28"/>
        <v>0</v>
      </c>
      <c r="G97" s="40">
        <f t="shared" si="28"/>
        <v>0</v>
      </c>
      <c r="H97" s="40">
        <f t="shared" si="28"/>
        <v>0</v>
      </c>
      <c r="I97" s="40">
        <f t="shared" si="28"/>
        <v>0</v>
      </c>
      <c r="J97" s="40">
        <f t="shared" si="28"/>
        <v>0</v>
      </c>
      <c r="K97" s="40">
        <f t="shared" si="28"/>
        <v>0</v>
      </c>
      <c r="L97" s="40">
        <f t="shared" si="28"/>
        <v>0</v>
      </c>
      <c r="M97" s="40">
        <f t="shared" si="28"/>
        <v>0</v>
      </c>
      <c r="N97" s="40">
        <f t="shared" si="28"/>
        <v>0</v>
      </c>
      <c r="O97" s="40">
        <f t="shared" si="28"/>
        <v>0</v>
      </c>
      <c r="P97" s="40">
        <f t="shared" si="28"/>
        <v>0</v>
      </c>
      <c r="Q97" s="40">
        <f t="shared" si="28"/>
        <v>0</v>
      </c>
      <c r="R97" s="40">
        <f t="shared" si="28"/>
        <v>0</v>
      </c>
      <c r="S97" s="40">
        <f t="shared" si="28"/>
        <v>0</v>
      </c>
      <c r="T97" s="40">
        <f t="shared" si="28"/>
        <v>0</v>
      </c>
      <c r="U97" s="40">
        <f t="shared" si="28"/>
        <v>0</v>
      </c>
      <c r="V97" s="40">
        <f t="shared" si="28"/>
        <v>0</v>
      </c>
      <c r="W97" s="40">
        <f t="shared" si="28"/>
        <v>0</v>
      </c>
      <c r="X97" s="40">
        <f t="shared" si="28"/>
        <v>0</v>
      </c>
      <c r="Y97" s="40">
        <f t="shared" si="28"/>
        <v>0</v>
      </c>
      <c r="Z97" s="40">
        <f t="shared" si="28"/>
        <v>0</v>
      </c>
      <c r="AA97" s="40">
        <f t="shared" si="28"/>
        <v>0</v>
      </c>
      <c r="AB97" s="40">
        <f t="shared" si="28"/>
        <v>0</v>
      </c>
      <c r="AC97" s="40">
        <f t="shared" si="28"/>
        <v>0</v>
      </c>
      <c r="AD97" s="40">
        <f t="shared" si="28"/>
        <v>0</v>
      </c>
      <c r="AE97" s="40">
        <f t="shared" si="28"/>
        <v>0</v>
      </c>
      <c r="AF97" s="40">
        <f t="shared" si="28"/>
        <v>0</v>
      </c>
      <c r="AG97" s="40">
        <f t="shared" si="28"/>
        <v>0</v>
      </c>
      <c r="AH97" s="40">
        <f t="shared" si="28"/>
        <v>0</v>
      </c>
      <c r="AI97" s="40">
        <f t="shared" si="28"/>
        <v>0</v>
      </c>
      <c r="AJ97" s="40">
        <f t="shared" si="28"/>
        <v>62.973</v>
      </c>
      <c r="AK97" s="36">
        <f t="shared" si="21"/>
        <v>-7186.143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39" t="s">
        <v>21</v>
      </c>
      <c r="C98" s="40">
        <f>C22+C30+C34+C35+C36+C42+C46+C50+C57+C63+C77+C83+C84+C90+C69+C80+C78+C37+C74+C75+C23+C81+C89</f>
        <v>12854.573</v>
      </c>
      <c r="D98" s="40">
        <f aca="true" t="shared" si="29" ref="D98:AJ98">D22+D30+D34+D35+D36+D42+D46+D50+D57+D63+D77+D83+D84+D90+D69+D80+D78+D37+D74+D75+D23+D81+D89</f>
        <v>0</v>
      </c>
      <c r="E98" s="40">
        <f t="shared" si="29"/>
        <v>64.22999999999999</v>
      </c>
      <c r="F98" s="40">
        <f t="shared" si="29"/>
        <v>0</v>
      </c>
      <c r="G98" s="40">
        <f t="shared" si="29"/>
        <v>0</v>
      </c>
      <c r="H98" s="40">
        <f t="shared" si="29"/>
        <v>0</v>
      </c>
      <c r="I98" s="40">
        <f t="shared" si="29"/>
        <v>0</v>
      </c>
      <c r="J98" s="40">
        <f t="shared" si="29"/>
        <v>0</v>
      </c>
      <c r="K98" s="40">
        <f t="shared" si="29"/>
        <v>0</v>
      </c>
      <c r="L98" s="40">
        <f t="shared" si="29"/>
        <v>0</v>
      </c>
      <c r="M98" s="40">
        <f t="shared" si="29"/>
        <v>0</v>
      </c>
      <c r="N98" s="40">
        <f t="shared" si="29"/>
        <v>0</v>
      </c>
      <c r="O98" s="40">
        <f t="shared" si="29"/>
        <v>0</v>
      </c>
      <c r="P98" s="40">
        <f t="shared" si="29"/>
        <v>0</v>
      </c>
      <c r="Q98" s="40">
        <f t="shared" si="29"/>
        <v>0</v>
      </c>
      <c r="R98" s="40">
        <f t="shared" si="29"/>
        <v>0</v>
      </c>
      <c r="S98" s="40">
        <f t="shared" si="29"/>
        <v>0</v>
      </c>
      <c r="T98" s="40">
        <f t="shared" si="29"/>
        <v>0</v>
      </c>
      <c r="U98" s="40">
        <f t="shared" si="29"/>
        <v>0</v>
      </c>
      <c r="V98" s="40">
        <f t="shared" si="29"/>
        <v>0</v>
      </c>
      <c r="W98" s="40">
        <f t="shared" si="29"/>
        <v>0</v>
      </c>
      <c r="X98" s="40">
        <f t="shared" si="29"/>
        <v>0</v>
      </c>
      <c r="Y98" s="40">
        <f t="shared" si="29"/>
        <v>0</v>
      </c>
      <c r="Z98" s="40">
        <f t="shared" si="29"/>
        <v>0</v>
      </c>
      <c r="AA98" s="40">
        <f t="shared" si="29"/>
        <v>0</v>
      </c>
      <c r="AB98" s="40">
        <f t="shared" si="29"/>
        <v>0</v>
      </c>
      <c r="AC98" s="40">
        <f t="shared" si="29"/>
        <v>0</v>
      </c>
      <c r="AD98" s="40">
        <f t="shared" si="29"/>
        <v>0</v>
      </c>
      <c r="AE98" s="40">
        <f t="shared" si="29"/>
        <v>0</v>
      </c>
      <c r="AF98" s="40">
        <f t="shared" si="29"/>
        <v>0</v>
      </c>
      <c r="AG98" s="40">
        <f t="shared" si="29"/>
        <v>0</v>
      </c>
      <c r="AH98" s="40">
        <f t="shared" si="29"/>
        <v>0</v>
      </c>
      <c r="AI98" s="40">
        <f t="shared" si="29"/>
        <v>0</v>
      </c>
      <c r="AJ98" s="40">
        <f t="shared" si="29"/>
        <v>64.22999999999999</v>
      </c>
      <c r="AK98" s="36">
        <f t="shared" si="21"/>
        <v>-12790.343</v>
      </c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4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 t="s">
        <v>67</v>
      </c>
      <c r="C100" s="56">
        <f aca="true" t="shared" si="30" ref="C100:AJ100">C18-C91</f>
        <v>0</v>
      </c>
      <c r="D100" s="56">
        <f t="shared" si="30"/>
        <v>0</v>
      </c>
      <c r="E100" s="56">
        <f t="shared" si="30"/>
        <v>0</v>
      </c>
      <c r="F100" s="56">
        <f t="shared" si="30"/>
        <v>0</v>
      </c>
      <c r="G100" s="56">
        <f t="shared" si="30"/>
        <v>0</v>
      </c>
      <c r="H100" s="56">
        <f t="shared" si="30"/>
        <v>0</v>
      </c>
      <c r="I100" s="56">
        <f t="shared" si="30"/>
        <v>0</v>
      </c>
      <c r="J100" s="56">
        <f t="shared" si="30"/>
        <v>0</v>
      </c>
      <c r="K100" s="56">
        <f t="shared" si="30"/>
        <v>0</v>
      </c>
      <c r="L100" s="56">
        <f t="shared" si="30"/>
        <v>0</v>
      </c>
      <c r="M100" s="56">
        <f t="shared" si="30"/>
        <v>0</v>
      </c>
      <c r="N100" s="56">
        <f t="shared" si="30"/>
        <v>0</v>
      </c>
      <c r="O100" s="56">
        <f t="shared" si="30"/>
        <v>0</v>
      </c>
      <c r="P100" s="56">
        <f t="shared" si="30"/>
        <v>0</v>
      </c>
      <c r="Q100" s="56">
        <f t="shared" si="30"/>
        <v>0</v>
      </c>
      <c r="R100" s="56">
        <f t="shared" si="30"/>
        <v>0</v>
      </c>
      <c r="S100" s="56">
        <f t="shared" si="30"/>
        <v>0</v>
      </c>
      <c r="T100" s="56">
        <f t="shared" si="30"/>
        <v>0</v>
      </c>
      <c r="U100" s="56">
        <f t="shared" si="30"/>
        <v>0</v>
      </c>
      <c r="V100" s="56">
        <f t="shared" si="30"/>
        <v>0</v>
      </c>
      <c r="W100" s="56">
        <f t="shared" si="30"/>
        <v>0</v>
      </c>
      <c r="X100" s="56">
        <f t="shared" si="30"/>
        <v>0</v>
      </c>
      <c r="Y100" s="56">
        <f t="shared" si="30"/>
        <v>0</v>
      </c>
      <c r="Z100" s="56">
        <f t="shared" si="30"/>
        <v>0</v>
      </c>
      <c r="AA100" s="56">
        <f t="shared" si="30"/>
        <v>0</v>
      </c>
      <c r="AB100" s="56">
        <f t="shared" si="30"/>
        <v>0</v>
      </c>
      <c r="AC100" s="56">
        <f t="shared" si="30"/>
        <v>0</v>
      </c>
      <c r="AD100" s="56">
        <f t="shared" si="30"/>
        <v>0</v>
      </c>
      <c r="AE100" s="56">
        <f t="shared" si="30"/>
        <v>0</v>
      </c>
      <c r="AF100" s="56">
        <f t="shared" si="30"/>
        <v>0</v>
      </c>
      <c r="AG100" s="56">
        <f t="shared" si="30"/>
        <v>0</v>
      </c>
      <c r="AH100" s="56">
        <f t="shared" si="30"/>
        <v>0</v>
      </c>
      <c r="AI100" s="56">
        <f t="shared" si="30"/>
        <v>0</v>
      </c>
      <c r="AJ100" s="56">
        <f t="shared" si="30"/>
        <v>0</v>
      </c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2" spans="1:49" s="8" customFormat="1" ht="15.75">
      <c r="A102" s="5"/>
      <c r="B102" s="5"/>
      <c r="C102" s="57"/>
      <c r="D102" s="57"/>
      <c r="E102" s="5"/>
      <c r="F102" s="5"/>
      <c r="G102" s="5"/>
      <c r="H102" s="5"/>
      <c r="I102" s="5"/>
      <c r="J102" s="5"/>
      <c r="K102" s="5"/>
      <c r="L102" s="5"/>
      <c r="M102" s="5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7"/>
      <c r="AL102" s="5"/>
      <c r="AP102" s="9"/>
      <c r="AQ102" s="9"/>
      <c r="AR102" s="9"/>
      <c r="AS102" s="9"/>
      <c r="AT102" s="9"/>
      <c r="AU102" s="9"/>
      <c r="AV102" s="9"/>
      <c r="AW102" s="9"/>
    </row>
    <row r="104" spans="1:49" s="8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7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7"/>
      <c r="AL104" s="58"/>
      <c r="AP104" s="9"/>
      <c r="AQ104" s="9"/>
      <c r="AR104" s="9"/>
      <c r="AS104" s="9"/>
      <c r="AT104" s="9"/>
      <c r="AU104" s="9"/>
      <c r="AV104" s="9"/>
      <c r="AW104" s="9"/>
    </row>
    <row r="183" ht="15.75">
      <c r="B183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100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Ppbmain1</cp:lastModifiedBy>
  <cp:lastPrinted>2020-05-26T08:52:33Z</cp:lastPrinted>
  <dcterms:created xsi:type="dcterms:W3CDTF">2019-11-27T07:51:11Z</dcterms:created>
  <dcterms:modified xsi:type="dcterms:W3CDTF">2021-03-02T07:40:56Z</dcterms:modified>
  <cp:category/>
  <cp:version/>
  <cp:contentType/>
  <cp:contentStatus/>
</cp:coreProperties>
</file>