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6855" tabRatio="985" firstSheet="3" activeTab="3"/>
  </bookViews>
  <sheets>
    <sheet name="січень 2020" sheetId="1" r:id="rId1"/>
    <sheet name="лютий 2020" sheetId="2" r:id="rId2"/>
    <sheet name="березень 2020" sheetId="3" r:id="rId3"/>
    <sheet name="квітень 2020 " sheetId="4" r:id="rId4"/>
  </sheets>
  <definedNames>
    <definedName name="_xlnm.Print_Area" localSheetId="2">'березень 2020'!$B$1:$AW$177</definedName>
    <definedName name="_xlnm.Print_Area" localSheetId="3">'квітень 2020 '!$B$1:$AW$178</definedName>
    <definedName name="_xlnm.Print_Area" localSheetId="1">'лютий 2020'!$B$1:$AM$177</definedName>
    <definedName name="_xlnm.Print_Area" localSheetId="0">'січень 2020'!$B$1:$AN$175</definedName>
  </definedNames>
  <calcPr fullCalcOnLoad="1"/>
</workbook>
</file>

<file path=xl/sharedStrings.xml><?xml version="1.0" encoding="utf-8"?>
<sst xmlns="http://schemas.openxmlformats.org/spreadsheetml/2006/main" count="425" uniqueCount="77">
  <si>
    <t>ї</t>
  </si>
  <si>
    <t>(тис.грн.)</t>
  </si>
  <si>
    <t>Показник</t>
  </si>
  <si>
    <t>надійшло доходів / план видатків на місяць</t>
  </si>
  <si>
    <t>Всього профінансовано</t>
  </si>
  <si>
    <t xml:space="preserve">   Субвенція на утримання об'єктів спільного користування</t>
  </si>
  <si>
    <t xml:space="preserve">   Трансферти (Освітня субвенція)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</si>
  <si>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</si>
  <si>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</si>
  <si>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</si>
  <si>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</si>
  <si>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</si>
  <si>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</si>
  <si>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</si>
  <si>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</si>
  <si>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</si>
  <si>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</si>
  <si>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</si>
  <si>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</si>
  <si>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</si>
  <si>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</si>
  <si>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</si>
  <si>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</si>
  <si>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</si>
  <si>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</si>
  <si>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</si>
  <si>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</si>
  <si>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</si>
  <si>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</si>
  <si>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</si>
  <si>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</si>
  <si>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</si>
  <si>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</si>
  <si>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</si>
  <si>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</si>
  <si>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</si>
  <si>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</si>
  <si>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</si>
  <si>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</si>
  <si>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</si>
  <si>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</si>
  <si>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</si>
  <si>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</si>
  <si>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</si>
  <si>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</si>
  <si>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</si>
  <si>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</si>
  <si>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</si>
  <si>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Забезпечення діяльності водопровідно-каналізаційного господарства (6013)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</si>
  <si>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</si>
  <si>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</si>
  <si>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</si>
  <si>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</si>
  <si>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</si>
  <si>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</si>
  <si>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</si>
  <si>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</si>
  <si>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</si>
  <si>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</si>
  <si>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</si>
  <si>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</si>
  <si>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</si>
  <si>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</si>
  <si>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</si>
  <si>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</si>
  <si>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</si>
  <si>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2020 року</t>
    </r>
  </si>
  <si>
    <t>Освіта (1000) в тому числі:</t>
  </si>
  <si>
    <t>Рядок 19 - 82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</si>
  <si>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2020 року</t>
    </r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</si>
  <si>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</si>
  <si>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Рядок 19 - 84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</si>
  <si>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2020 року</t>
    </r>
  </si>
  <si>
    <t>Субвенція на утримання об'єктів спільного користування</t>
  </si>
  <si>
    <t>Трансферти (Освітня субвенція)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</si>
  <si>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2020 року</t>
    </r>
  </si>
  <si>
    <t>Інші Субвенції з місцевого бюджету(9770)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</si>
</sst>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.0%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Calibri"/>
      <family val="2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2.9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5.2"/>
      <color indexed="8"/>
      <name val="Calibri"/>
      <family val="0"/>
    </font>
    <font>
      <b/>
      <sz val="8.45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48" fillId="25" borderId="0" applyNumberFormat="0" applyBorder="0" applyAlignment="0" applyProtection="0"/>
    <xf numFmtId="0" fontId="16" fillId="16" borderId="0" applyNumberFormat="0" applyBorder="0" applyAlignment="0" applyProtection="0"/>
    <xf numFmtId="0" fontId="48" fillId="26" borderId="0" applyNumberFormat="0" applyBorder="0" applyAlignment="0" applyProtection="0"/>
    <xf numFmtId="0" fontId="16" fillId="18" borderId="0" applyNumberFormat="0" applyBorder="0" applyAlignment="0" applyProtection="0"/>
    <xf numFmtId="0" fontId="48" fillId="27" borderId="0" applyNumberFormat="0" applyBorder="0" applyAlignment="0" applyProtection="0"/>
    <xf numFmtId="0" fontId="16" fillId="28" borderId="0" applyNumberFormat="0" applyBorder="0" applyAlignment="0" applyProtection="0"/>
    <xf numFmtId="0" fontId="48" fillId="29" borderId="0" applyNumberFormat="0" applyBorder="0" applyAlignment="0" applyProtection="0"/>
    <xf numFmtId="0" fontId="16" fillId="30" borderId="0" applyNumberFormat="0" applyBorder="0" applyAlignment="0" applyProtection="0"/>
    <xf numFmtId="0" fontId="48" fillId="31" borderId="0" applyNumberFormat="0" applyBorder="0" applyAlignment="0" applyProtection="0"/>
    <xf numFmtId="0" fontId="16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40" borderId="1" applyNumberFormat="0" applyAlignment="0" applyProtection="0"/>
    <xf numFmtId="0" fontId="50" fillId="41" borderId="2" applyNumberFormat="0" applyAlignment="0" applyProtection="0"/>
    <xf numFmtId="0" fontId="51" fillId="41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42" borderId="7" applyNumberFormat="0" applyAlignment="0" applyProtection="0"/>
    <xf numFmtId="0" fontId="57" fillId="0" borderId="0" applyNumberFormat="0" applyFill="0" applyBorder="0" applyAlignment="0" applyProtection="0"/>
    <xf numFmtId="0" fontId="58" fillId="43" borderId="0" applyNumberFormat="0" applyBorder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63" fillId="46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72" fontId="8" fillId="0" borderId="10" xfId="0" applyNumberFormat="1" applyFont="1" applyBorder="1" applyAlignment="1">
      <alignment horizontal="center" vertical="center" wrapText="1"/>
    </xf>
    <xf numFmtId="172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72" fontId="12" fillId="48" borderId="10" xfId="0" applyNumberFormat="1" applyFont="1" applyFill="1" applyBorder="1" applyAlignment="1">
      <alignment horizontal="center" vertical="center" wrapText="1"/>
    </xf>
    <xf numFmtId="172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0" fontId="14" fillId="47" borderId="10" xfId="71" applyFont="1" applyFill="1" applyBorder="1" applyAlignment="1">
      <alignment horizontal="left" vertical="top" wrapText="1" indent="1"/>
      <protection/>
    </xf>
    <xf numFmtId="172" fontId="12" fillId="47" borderId="10" xfId="0" applyNumberFormat="1" applyFont="1" applyFill="1" applyBorder="1" applyAlignment="1">
      <alignment horizontal="center" vertical="center" wrapText="1"/>
    </xf>
    <xf numFmtId="172" fontId="8" fillId="47" borderId="10" xfId="0" applyNumberFormat="1" applyFont="1" applyFill="1" applyBorder="1" applyAlignment="1">
      <alignment horizontal="center" vertical="center" wrapText="1"/>
    </xf>
    <xf numFmtId="172" fontId="15" fillId="47" borderId="10" xfId="0" applyNumberFormat="1" applyFont="1" applyFill="1" applyBorder="1" applyAlignment="1">
      <alignment horizontal="center" vertical="center"/>
    </xf>
    <xf numFmtId="172" fontId="8" fillId="47" borderId="0" xfId="0" applyNumberFormat="1" applyFont="1" applyFill="1" applyBorder="1" applyAlignment="1">
      <alignment horizontal="center" vertical="center"/>
    </xf>
    <xf numFmtId="172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72" fontId="2" fillId="47" borderId="10" xfId="0" applyNumberFormat="1" applyFont="1" applyFill="1" applyBorder="1" applyAlignment="1">
      <alignment horizontal="center" vertical="center"/>
    </xf>
    <xf numFmtId="172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72" fontId="2" fillId="6" borderId="10" xfId="0" applyNumberFormat="1" applyFont="1" applyFill="1" applyBorder="1" applyAlignment="1">
      <alignment horizontal="center" vertical="center" wrapText="1"/>
    </xf>
    <xf numFmtId="172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72" fontId="2" fillId="49" borderId="10" xfId="0" applyNumberFormat="1" applyFont="1" applyFill="1" applyBorder="1" applyAlignment="1">
      <alignment horizontal="center" vertical="center" shrinkToFit="1"/>
    </xf>
    <xf numFmtId="172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72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72" fontId="2" fillId="0" borderId="10" xfId="0" applyNumberFormat="1" applyFont="1" applyFill="1" applyBorder="1" applyAlignment="1">
      <alignment horizontal="center" vertical="center"/>
    </xf>
    <xf numFmtId="172" fontId="11" fillId="0" borderId="0" xfId="0" applyNumberFormat="1" applyFont="1" applyAlignment="1">
      <alignment/>
    </xf>
    <xf numFmtId="0" fontId="8" fillId="47" borderId="10" xfId="0" applyFont="1" applyFill="1" applyBorder="1" applyAlignment="1">
      <alignment wrapText="1"/>
    </xf>
    <xf numFmtId="172" fontId="10" fillId="0" borderId="0" xfId="0" applyNumberFormat="1" applyFont="1" applyAlignment="1">
      <alignment/>
    </xf>
    <xf numFmtId="172" fontId="8" fillId="5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72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72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7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72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64" fillId="0" borderId="0" xfId="0" applyFont="1" applyAlignment="1">
      <alignment/>
    </xf>
    <xf numFmtId="172" fontId="64" fillId="0" borderId="0" xfId="0" applyNumberFormat="1" applyFont="1" applyAlignment="1">
      <alignment/>
    </xf>
    <xf numFmtId="0" fontId="65" fillId="0" borderId="0" xfId="0" applyFont="1" applyAlignment="1">
      <alignment/>
    </xf>
    <xf numFmtId="172" fontId="65" fillId="0" borderId="0" xfId="0" applyNumberFormat="1" applyFont="1" applyAlignment="1">
      <alignment/>
    </xf>
    <xf numFmtId="172" fontId="2" fillId="51" borderId="10" xfId="0" applyNumberFormat="1" applyFont="1" applyFill="1" applyBorder="1" applyAlignment="1">
      <alignment horizontal="center" vertical="center"/>
    </xf>
    <xf numFmtId="0" fontId="15" fillId="47" borderId="10" xfId="71" applyFont="1" applyFill="1" applyBorder="1" applyAlignment="1">
      <alignment horizontal="left" vertical="top" wrapText="1" indent="1"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72" fontId="67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2020'!$B$84:$B$90</c:f>
              <c:strCache/>
            </c:strRef>
          </c:cat>
          <c:val>
            <c:numRef>
              <c:f>'січень 2020'!$AA$84:$AA$90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5"/>
          <c:y val="0.656"/>
          <c:w val="0.9302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5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2020'!$AM$20:$AM$27</c:f>
              <c:strCache/>
            </c:strRef>
          </c:cat>
          <c:val>
            <c:numRef>
              <c:f>'березень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"/>
          <c:y val="0.7555"/>
          <c:w val="0.980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25"/>
          <c:y val="0.24075"/>
          <c:w val="0.7255"/>
          <c:h val="0.695"/>
        </c:manualLayout>
      </c:layout>
      <c:lineChart>
        <c:grouping val="standard"/>
        <c:varyColors val="0"/>
        <c:ser>
          <c:idx val="1"/>
          <c:order val="0"/>
          <c:tx>
            <c:strRef>
              <c:f>'березень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'березень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'березень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'березень 2020'!$D$8:$AH$8</c:f>
              <c:numCache/>
            </c:numRef>
          </c:val>
          <c:smooth val="0"/>
        </c:ser>
        <c:marker val="1"/>
        <c:axId val="66815522"/>
        <c:axId val="43348163"/>
      </c:lineChart>
      <c:catAx>
        <c:axId val="66815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348163"/>
        <c:crosses val="autoZero"/>
        <c:auto val="1"/>
        <c:lblOffset val="100"/>
        <c:tickLblSkip val="1"/>
        <c:noMultiLvlLbl val="0"/>
      </c:catAx>
      <c:valAx>
        <c:axId val="43348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815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5"/>
          <c:y val="0.93525"/>
          <c:w val="0.852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7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125"/>
          <c:y val="0.2555"/>
          <c:w val="0.3727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2020'!$B$9:$B$16</c:f>
              <c:strCache/>
            </c:strRef>
          </c:cat>
          <c:val>
            <c:numRef>
              <c:f>'березень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033"/>
          <c:w val="0.30025"/>
          <c:h val="0.8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467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25"/>
          <c:y val="0.15325"/>
          <c:w val="0.378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2020 '!$B$87:$B$93</c:f>
              <c:strCache/>
            </c:strRef>
          </c:cat>
          <c:val>
            <c:numRef>
              <c:f>'квітень 2020 '!$AJ$87:$AJ$93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25"/>
          <c:y val="0.7015"/>
          <c:w val="0.9312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5"/>
          <c:y val="0.2605"/>
          <c:w val="0.3662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2020 '!$AM$20:$AM$27</c:f>
              <c:strCache/>
            </c:strRef>
          </c:cat>
          <c:val>
            <c:numRef>
              <c:f>'квітень 2020 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555"/>
          <c:w val="0.98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3"/>
          <c:y val="0.195"/>
          <c:w val="0.7225"/>
          <c:h val="0.7385"/>
        </c:manualLayout>
      </c:layout>
      <c:lineChart>
        <c:grouping val="standard"/>
        <c:varyColors val="0"/>
        <c:ser>
          <c:idx val="1"/>
          <c:order val="0"/>
          <c:tx>
            <c:strRef>
              <c:f>'квітень 2020 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'квітень 2020 '!$D$7:$AH$7</c:f>
              <c:numCache/>
            </c:numRef>
          </c:val>
          <c:smooth val="0"/>
        </c:ser>
        <c:ser>
          <c:idx val="0"/>
          <c:order val="1"/>
          <c:tx>
            <c:strRef>
              <c:f>'квітень 2020 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'квітень 2020 '!$D$8:$AH$8</c:f>
              <c:numCache/>
            </c:numRef>
          </c:val>
          <c:smooth val="0"/>
        </c:ser>
        <c:marker val="1"/>
        <c:axId val="21540276"/>
        <c:axId val="67040757"/>
      </c:lineChart>
      <c:catAx>
        <c:axId val="21540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040757"/>
        <c:crosses val="autoZero"/>
        <c:auto val="1"/>
        <c:lblOffset val="100"/>
        <c:tickLblSkip val="1"/>
        <c:noMultiLvlLbl val="0"/>
      </c:catAx>
      <c:valAx>
        <c:axId val="67040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540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5"/>
          <c:y val="0.93675"/>
          <c:w val="0.853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975"/>
          <c:y val="0.2535"/>
          <c:w val="0.373"/>
          <c:h val="0.34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2020 '!$B$9:$B$16</c:f>
              <c:strCache/>
            </c:strRef>
          </c:cat>
          <c:val>
            <c:numRef>
              <c:f>'квітень 2020 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75"/>
          <c:y val="0.033"/>
          <c:w val="0.30025"/>
          <c:h val="0.8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2020'!$AD$20:$AD$27</c:f>
              <c:strCache/>
            </c:strRef>
          </c:cat>
          <c:val>
            <c:numRef>
              <c:f>'січень 2020'!$AE$20:$AE$27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78475"/>
          <c:w val="0.9812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2945"/>
          <c:w val="0.7655"/>
          <c:h val="0.6632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2020'!$D$7:$X$7</c:f>
              <c:numCache/>
            </c:numRef>
          </c:val>
          <c:smooth val="0"/>
        </c:ser>
        <c:ser>
          <c:idx val="2"/>
          <c:order val="1"/>
          <c:tx>
            <c:strRef>
              <c:f>'січень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'січень 2020'!$D$8:$X$8</c:f>
              <c:numCache/>
            </c:numRef>
          </c:val>
          <c:smooth val="0"/>
        </c:ser>
        <c:marker val="1"/>
        <c:axId val="53350078"/>
        <c:axId val="26389023"/>
      </c:lineChart>
      <c:catAx>
        <c:axId val="53350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89023"/>
        <c:crosses val="autoZero"/>
        <c:auto val="1"/>
        <c:lblOffset val="100"/>
        <c:tickLblSkip val="1"/>
        <c:noMultiLvlLbl val="0"/>
      </c:catAx>
      <c:valAx>
        <c:axId val="26389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350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65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8"/>
          <c:y val="0.2612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2020'!$B$9:$B$16</c:f>
              <c:strCache/>
            </c:strRef>
          </c:cat>
          <c:val>
            <c:numRef>
              <c:f>'січень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00725"/>
          <c:w val="0.32025"/>
          <c:h val="0.8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2020'!$B$86:$B$92</c:f>
              <c:strCache/>
            </c:strRef>
          </c:cat>
          <c:val>
            <c:numRef>
              <c:f>'лютий 2020'!$Z$86:$Z$92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75"/>
          <c:y val="0.66475"/>
          <c:w val="0.9302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2020'!$AC$20:$AC$27</c:f>
              <c:strCache/>
            </c:strRef>
          </c:cat>
          <c:val>
            <c:numRef>
              <c:f>'лютий 2020'!$AD$20:$AD$27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78475"/>
          <c:w val="0.9812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"/>
          <c:y val="0.502"/>
          <c:w val="0.72825"/>
          <c:h val="0.4545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2020'!$D$7:$W$7</c:f>
              <c:numCache/>
            </c:numRef>
          </c:val>
          <c:smooth val="0"/>
        </c:ser>
        <c:ser>
          <c:idx val="2"/>
          <c:order val="1"/>
          <c:tx>
            <c:strRef>
              <c:f>'лютий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'лютий 2020'!$D$8:$W$8</c:f>
              <c:numCache/>
            </c:numRef>
          </c:val>
          <c:smooth val="0"/>
        </c:ser>
        <c:marker val="1"/>
        <c:axId val="57136080"/>
        <c:axId val="64619729"/>
      </c:lineChart>
      <c:catAx>
        <c:axId val="57136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619729"/>
        <c:crosses val="autoZero"/>
        <c:auto val="1"/>
        <c:lblOffset val="100"/>
        <c:tickLblSkip val="1"/>
        <c:noMultiLvlLbl val="0"/>
      </c:catAx>
      <c:valAx>
        <c:axId val="64619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36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4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075"/>
          <c:y val="0.2555"/>
          <c:w val="0.373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2020'!$B$9:$B$16</c:f>
              <c:strCache/>
            </c:strRef>
          </c:cat>
          <c:val>
            <c:numRef>
              <c:f>'лютий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026"/>
          <c:w val="0.32025"/>
          <c:h val="0.8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15325"/>
          <c:w val="0.3772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2020'!$B$86:$B$92</c:f>
              <c:strCache/>
            </c:strRef>
          </c:cat>
          <c:val>
            <c:numRef>
              <c:f>'березень 2020'!$AJ$86:$AJ$92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75"/>
          <c:y val="0.7015"/>
          <c:w val="0.930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93</xdr:row>
      <xdr:rowOff>95250</xdr:rowOff>
    </xdr:from>
    <xdr:to>
      <xdr:col>17</xdr:col>
      <xdr:colOff>76200</xdr:colOff>
      <xdr:row>126</xdr:row>
      <xdr:rowOff>57150</xdr:rowOff>
    </xdr:to>
    <xdr:graphicFrame>
      <xdr:nvGraphicFramePr>
        <xdr:cNvPr id="1" name="Диаграмма 1"/>
        <xdr:cNvGraphicFramePr/>
      </xdr:nvGraphicFramePr>
      <xdr:xfrm>
        <a:off x="352425" y="17021175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93</xdr:row>
      <xdr:rowOff>85725</xdr:rowOff>
    </xdr:from>
    <xdr:to>
      <xdr:col>32</xdr:col>
      <xdr:colOff>523875</xdr:colOff>
      <xdr:row>126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17011650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128</xdr:row>
      <xdr:rowOff>57150</xdr:rowOff>
    </xdr:from>
    <xdr:to>
      <xdr:col>17</xdr:col>
      <xdr:colOff>85725</xdr:colOff>
      <xdr:row>161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3679150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128</xdr:row>
      <xdr:rowOff>57150</xdr:rowOff>
    </xdr:from>
    <xdr:to>
      <xdr:col>32</xdr:col>
      <xdr:colOff>571500</xdr:colOff>
      <xdr:row>161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2367915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95250</xdr:rowOff>
    </xdr:from>
    <xdr:to>
      <xdr:col>17</xdr:col>
      <xdr:colOff>76200</xdr:colOff>
      <xdr:row>128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0421600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95</xdr:row>
      <xdr:rowOff>85725</xdr:rowOff>
    </xdr:from>
    <xdr:to>
      <xdr:col>31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20412075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57150</xdr:rowOff>
    </xdr:from>
    <xdr:to>
      <xdr:col>17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7079575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219075</xdr:colOff>
      <xdr:row>130</xdr:row>
      <xdr:rowOff>28575</xdr:rowOff>
    </xdr:from>
    <xdr:to>
      <xdr:col>31</xdr:col>
      <xdr:colOff>609600</xdr:colOff>
      <xdr:row>163</xdr:row>
      <xdr:rowOff>114300</xdr:rowOff>
    </xdr:to>
    <xdr:graphicFrame>
      <xdr:nvGraphicFramePr>
        <xdr:cNvPr id="4" name="Диаграмма 1"/>
        <xdr:cNvGraphicFramePr/>
      </xdr:nvGraphicFramePr>
      <xdr:xfrm>
        <a:off x="11639550" y="2705100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95250</xdr:rowOff>
    </xdr:from>
    <xdr:to>
      <xdr:col>25</xdr:col>
      <xdr:colOff>76200</xdr:colOff>
      <xdr:row>128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2098000"/>
        <a:ext cx="134016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190500</xdr:colOff>
      <xdr:row>95</xdr:row>
      <xdr:rowOff>85725</xdr:rowOff>
    </xdr:from>
    <xdr:to>
      <xdr:col>41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3868400" y="22088475"/>
        <a:ext cx="103346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57150</xdr:rowOff>
    </xdr:from>
    <xdr:to>
      <xdr:col>25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8755975"/>
        <a:ext cx="1343977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130</xdr:row>
      <xdr:rowOff>38100</xdr:rowOff>
    </xdr:from>
    <xdr:to>
      <xdr:col>41</xdr:col>
      <xdr:colOff>581025</xdr:colOff>
      <xdr:row>163</xdr:row>
      <xdr:rowOff>142875</xdr:rowOff>
    </xdr:to>
    <xdr:graphicFrame>
      <xdr:nvGraphicFramePr>
        <xdr:cNvPr id="4" name="Диаграмма 1"/>
        <xdr:cNvGraphicFramePr/>
      </xdr:nvGraphicFramePr>
      <xdr:xfrm>
        <a:off x="13868400" y="28736925"/>
        <a:ext cx="103917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96</xdr:row>
      <xdr:rowOff>95250</xdr:rowOff>
    </xdr:from>
    <xdr:to>
      <xdr:col>25</xdr:col>
      <xdr:colOff>76200</xdr:colOff>
      <xdr:row>129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3755350"/>
        <a:ext cx="131254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190500</xdr:colOff>
      <xdr:row>96</xdr:row>
      <xdr:rowOff>85725</xdr:rowOff>
    </xdr:from>
    <xdr:to>
      <xdr:col>41</xdr:col>
      <xdr:colOff>523875</xdr:colOff>
      <xdr:row>129</xdr:row>
      <xdr:rowOff>76200</xdr:rowOff>
    </xdr:to>
    <xdr:graphicFrame>
      <xdr:nvGraphicFramePr>
        <xdr:cNvPr id="2" name="Диаграмма 4"/>
        <xdr:cNvGraphicFramePr/>
      </xdr:nvGraphicFramePr>
      <xdr:xfrm>
        <a:off x="13592175" y="23745825"/>
        <a:ext cx="1008697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131</xdr:row>
      <xdr:rowOff>57150</xdr:rowOff>
    </xdr:from>
    <xdr:to>
      <xdr:col>25</xdr:col>
      <xdr:colOff>85725</xdr:colOff>
      <xdr:row>164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30413325"/>
        <a:ext cx="131635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131</xdr:row>
      <xdr:rowOff>38100</xdr:rowOff>
    </xdr:from>
    <xdr:to>
      <xdr:col>41</xdr:col>
      <xdr:colOff>581025</xdr:colOff>
      <xdr:row>164</xdr:row>
      <xdr:rowOff>142875</xdr:rowOff>
    </xdr:to>
    <xdr:graphicFrame>
      <xdr:nvGraphicFramePr>
        <xdr:cNvPr id="4" name="Диаграмма 1"/>
        <xdr:cNvGraphicFramePr/>
      </xdr:nvGraphicFramePr>
      <xdr:xfrm>
        <a:off x="13592175" y="30394275"/>
        <a:ext cx="101441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75"/>
  <sheetViews>
    <sheetView view="pageBreakPreview" zoomScale="75" zoomScaleNormal="40" zoomScaleSheetLayoutView="75" zoomScalePageLayoutView="0" workbookViewId="0" topLeftCell="B1">
      <pane xSplit="4230" ySplit="2250" topLeftCell="W1" activePane="bottomRight" state="split"/>
      <selection pane="topLeft" activeCell="AB83" sqref="AB83"/>
      <selection pane="topRight" activeCell="AB1" sqref="AB1:AB16384"/>
      <selection pane="bottomLeft" activeCell="B55" sqref="B55"/>
      <selection pane="bottomRight" activeCell="AF18" sqref="AF1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8.75">
      <c r="B3" s="75" t="s">
        <v>66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.75">
      <c r="B4" s="5" t="s">
        <v>0</v>
      </c>
      <c r="AA4" s="6" t="s">
        <v>1</v>
      </c>
    </row>
    <row r="5" spans="2:27" ht="71.25">
      <c r="B5" s="10" t="s">
        <v>2</v>
      </c>
      <c r="C5" s="11" t="s">
        <v>3</v>
      </c>
      <c r="D5" s="12">
        <v>3</v>
      </c>
      <c r="E5" s="10">
        <v>8</v>
      </c>
      <c r="F5" s="10">
        <v>9</v>
      </c>
      <c r="G5" s="10">
        <v>10</v>
      </c>
      <c r="H5" s="10">
        <v>11</v>
      </c>
      <c r="I5" s="13">
        <v>13</v>
      </c>
      <c r="J5" s="10">
        <v>14</v>
      </c>
      <c r="K5" s="10">
        <v>15</v>
      </c>
      <c r="L5" s="10">
        <v>16</v>
      </c>
      <c r="M5" s="10">
        <v>17</v>
      </c>
      <c r="N5" s="10">
        <v>20</v>
      </c>
      <c r="O5" s="10">
        <v>21</v>
      </c>
      <c r="P5" s="10">
        <v>22</v>
      </c>
      <c r="Q5" s="10">
        <v>23</v>
      </c>
      <c r="R5" s="10">
        <v>24</v>
      </c>
      <c r="S5" s="10">
        <v>27</v>
      </c>
      <c r="T5" s="10">
        <v>28</v>
      </c>
      <c r="U5" s="13">
        <v>29</v>
      </c>
      <c r="V5" s="10">
        <v>30</v>
      </c>
      <c r="W5" s="13">
        <v>31</v>
      </c>
      <c r="X5" s="65"/>
      <c r="Y5" s="13"/>
      <c r="Z5" s="13"/>
      <c r="AA5" s="12" t="s">
        <v>4</v>
      </c>
    </row>
    <row r="6" spans="2:27" ht="30">
      <c r="B6" s="14" t="s">
        <v>5</v>
      </c>
      <c r="C6" s="15">
        <f>SUM(D6:Y6)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.75">
      <c r="B7" s="20" t="s">
        <v>6</v>
      </c>
      <c r="C7" s="15">
        <f>SUM(D7:Y7)</f>
        <v>3430.8</v>
      </c>
      <c r="D7" s="21">
        <v>1715.4</v>
      </c>
      <c r="E7" s="17"/>
      <c r="F7" s="17"/>
      <c r="G7" s="17"/>
      <c r="H7" s="17">
        <v>1715.4</v>
      </c>
      <c r="I7" s="17"/>
      <c r="J7" s="2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.75">
      <c r="B8" s="23" t="s">
        <v>8</v>
      </c>
      <c r="C8" s="24">
        <f>SUM(D8:Z8)</f>
        <v>18505.5</v>
      </c>
      <c r="D8" s="25">
        <f aca="true" t="shared" si="0" ref="D8:Y8">SUM(D9:D16)</f>
        <v>1081.8999999999999</v>
      </c>
      <c r="E8" s="25">
        <f t="shared" si="0"/>
        <v>518.1</v>
      </c>
      <c r="F8" s="25">
        <f t="shared" si="0"/>
        <v>618.8</v>
      </c>
      <c r="G8" s="25">
        <f t="shared" si="0"/>
        <v>371.3</v>
      </c>
      <c r="H8" s="25">
        <f t="shared" si="0"/>
        <v>1465.1</v>
      </c>
      <c r="I8" s="25">
        <f t="shared" si="0"/>
        <v>363.20000000000005</v>
      </c>
      <c r="J8" s="25">
        <f t="shared" si="0"/>
        <v>386.7</v>
      </c>
      <c r="K8" s="25">
        <f t="shared" si="0"/>
        <v>914.8000000000002</v>
      </c>
      <c r="L8" s="25">
        <f t="shared" si="0"/>
        <v>990.2</v>
      </c>
      <c r="M8" s="25">
        <f t="shared" si="0"/>
        <v>1010.5999999999999</v>
      </c>
      <c r="N8" s="25">
        <f t="shared" si="0"/>
        <v>2124.4</v>
      </c>
      <c r="O8" s="25">
        <f t="shared" si="0"/>
        <v>557</v>
      </c>
      <c r="P8" s="25">
        <f t="shared" si="0"/>
        <v>881.5</v>
      </c>
      <c r="Q8" s="25">
        <f t="shared" si="0"/>
        <v>649</v>
      </c>
      <c r="R8" s="25">
        <f t="shared" si="0"/>
        <v>481.9</v>
      </c>
      <c r="S8" s="25">
        <f t="shared" si="0"/>
        <v>1312.5</v>
      </c>
      <c r="T8" s="25">
        <f t="shared" si="0"/>
        <v>2388.7000000000003</v>
      </c>
      <c r="U8" s="25">
        <f t="shared" si="0"/>
        <v>1182.4999999999998</v>
      </c>
      <c r="V8" s="25">
        <f t="shared" si="0"/>
        <v>554.5</v>
      </c>
      <c r="W8" s="25">
        <f t="shared" si="0"/>
        <v>652.8</v>
      </c>
      <c r="X8" s="25">
        <f t="shared" si="0"/>
        <v>0</v>
      </c>
      <c r="Y8" s="25">
        <f t="shared" si="0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.75">
      <c r="B9" s="27" t="s">
        <v>9</v>
      </c>
      <c r="C9" s="28">
        <f>SUM(D9:X9)</f>
        <v>9794.1</v>
      </c>
      <c r="D9" s="29">
        <v>1049.6</v>
      </c>
      <c r="E9" s="22">
        <v>445.7</v>
      </c>
      <c r="F9" s="22">
        <v>357.6</v>
      </c>
      <c r="G9" s="22">
        <v>91.1</v>
      </c>
      <c r="H9" s="22">
        <v>1337</v>
      </c>
      <c r="I9" s="22">
        <v>119.9</v>
      </c>
      <c r="J9" s="22">
        <v>104.5</v>
      </c>
      <c r="K9" s="22">
        <v>590.2</v>
      </c>
      <c r="L9" s="22">
        <v>539.1</v>
      </c>
      <c r="M9" s="22">
        <v>280.3</v>
      </c>
      <c r="N9" s="22">
        <v>1193</v>
      </c>
      <c r="O9" s="22">
        <v>248.2</v>
      </c>
      <c r="P9" s="22">
        <v>520</v>
      </c>
      <c r="Q9" s="22">
        <v>424.5</v>
      </c>
      <c r="R9" s="30">
        <v>205.9</v>
      </c>
      <c r="S9" s="30">
        <v>577.9</v>
      </c>
      <c r="T9" s="22">
        <v>381.5</v>
      </c>
      <c r="U9" s="30">
        <v>469.7</v>
      </c>
      <c r="V9" s="22">
        <v>311.1</v>
      </c>
      <c r="W9" s="22">
        <v>547.3</v>
      </c>
      <c r="X9" s="22"/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aca="true" t="shared" si="1" ref="C10:C16">SUM(D10:X10)</f>
        <v>0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16.5" customHeight="1">
      <c r="B11" s="27" t="s">
        <v>11</v>
      </c>
      <c r="C11" s="28">
        <f t="shared" si="1"/>
        <v>477.69999999999993</v>
      </c>
      <c r="D11" s="29"/>
      <c r="E11" s="22">
        <v>0.3</v>
      </c>
      <c r="F11" s="22">
        <v>31.5</v>
      </c>
      <c r="G11" s="22">
        <v>0.1</v>
      </c>
      <c r="H11" s="22">
        <v>6.5</v>
      </c>
      <c r="I11" s="22">
        <v>3.5</v>
      </c>
      <c r="J11" s="22">
        <v>3.5</v>
      </c>
      <c r="K11" s="22">
        <v>1.1</v>
      </c>
      <c r="L11" s="22">
        <v>5</v>
      </c>
      <c r="M11" s="22">
        <v>5.6</v>
      </c>
      <c r="N11" s="22">
        <v>1.4</v>
      </c>
      <c r="O11" s="22">
        <v>1.1</v>
      </c>
      <c r="P11" s="22">
        <v>1</v>
      </c>
      <c r="Q11" s="22">
        <v>24.2</v>
      </c>
      <c r="R11" s="30">
        <v>27.3</v>
      </c>
      <c r="S11" s="30">
        <v>131.2</v>
      </c>
      <c r="T11" s="22">
        <v>61.4</v>
      </c>
      <c r="U11" s="30">
        <v>126.6</v>
      </c>
      <c r="V11" s="22">
        <v>41.2</v>
      </c>
      <c r="W11" s="22">
        <v>5.2</v>
      </c>
      <c r="X11" s="22"/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.75">
      <c r="B12" s="27" t="s">
        <v>12</v>
      </c>
      <c r="C12" s="28">
        <f t="shared" si="1"/>
        <v>2700.8</v>
      </c>
      <c r="D12" s="29"/>
      <c r="E12" s="22"/>
      <c r="F12" s="22">
        <v>12.4</v>
      </c>
      <c r="G12" s="22">
        <v>6.8</v>
      </c>
      <c r="H12" s="22"/>
      <c r="I12" s="22">
        <v>44.9</v>
      </c>
      <c r="J12" s="22">
        <v>2.2</v>
      </c>
      <c r="K12" s="22">
        <v>17</v>
      </c>
      <c r="L12" s="22">
        <v>8.8</v>
      </c>
      <c r="M12" s="22">
        <v>225.1</v>
      </c>
      <c r="N12" s="22">
        <v>633.9</v>
      </c>
      <c r="O12" s="22">
        <v>83.8</v>
      </c>
      <c r="P12" s="22">
        <v>106.5</v>
      </c>
      <c r="Q12" s="22">
        <v>33.8</v>
      </c>
      <c r="R12" s="30">
        <v>11</v>
      </c>
      <c r="S12" s="30">
        <v>38.8</v>
      </c>
      <c r="T12" s="22">
        <v>1265.5</v>
      </c>
      <c r="U12" s="30">
        <v>209.3</v>
      </c>
      <c r="V12" s="22">
        <v>0.4</v>
      </c>
      <c r="W12" s="22">
        <v>0.6</v>
      </c>
      <c r="X12" s="22"/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.75">
      <c r="B13" s="27" t="s">
        <v>13</v>
      </c>
      <c r="C13" s="28">
        <f t="shared" si="1"/>
        <v>2136.8</v>
      </c>
      <c r="D13" s="29">
        <v>13.1</v>
      </c>
      <c r="E13" s="22">
        <v>6</v>
      </c>
      <c r="F13" s="22">
        <v>19.1</v>
      </c>
      <c r="G13" s="22">
        <v>16.3</v>
      </c>
      <c r="H13" s="22">
        <v>1.1</v>
      </c>
      <c r="I13" s="22">
        <v>24.6</v>
      </c>
      <c r="J13" s="22">
        <v>1.6</v>
      </c>
      <c r="K13" s="22">
        <v>47.7</v>
      </c>
      <c r="L13" s="22">
        <v>54.9</v>
      </c>
      <c r="M13" s="22">
        <v>207.9</v>
      </c>
      <c r="N13" s="22">
        <v>19.5</v>
      </c>
      <c r="O13" s="22">
        <v>86.8</v>
      </c>
      <c r="P13" s="22">
        <v>50.5</v>
      </c>
      <c r="Q13" s="22">
        <v>115.9</v>
      </c>
      <c r="R13" s="30">
        <v>89.3</v>
      </c>
      <c r="S13" s="30">
        <v>445.6</v>
      </c>
      <c r="T13" s="22">
        <v>503.3</v>
      </c>
      <c r="U13" s="22">
        <v>253.3</v>
      </c>
      <c r="V13" s="22">
        <v>140.9</v>
      </c>
      <c r="W13" s="22">
        <v>39.4</v>
      </c>
      <c r="X13" s="22"/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.75">
      <c r="B14" s="27" t="s">
        <v>14</v>
      </c>
      <c r="C14" s="28">
        <f t="shared" si="1"/>
        <v>2806.8</v>
      </c>
      <c r="D14" s="29">
        <v>15.7</v>
      </c>
      <c r="E14" s="22">
        <v>58.6</v>
      </c>
      <c r="F14" s="22">
        <v>140.6</v>
      </c>
      <c r="G14" s="22">
        <v>242.4</v>
      </c>
      <c r="H14" s="22">
        <v>113.8</v>
      </c>
      <c r="I14" s="22">
        <v>152.7</v>
      </c>
      <c r="J14" s="22">
        <v>256.5</v>
      </c>
      <c r="K14" s="22">
        <v>238.5</v>
      </c>
      <c r="L14" s="22">
        <v>361</v>
      </c>
      <c r="M14" s="22">
        <v>278.5</v>
      </c>
      <c r="N14" s="22">
        <v>182.1</v>
      </c>
      <c r="O14" s="22">
        <v>115.8</v>
      </c>
      <c r="P14" s="22">
        <v>117.9</v>
      </c>
      <c r="Q14" s="22">
        <v>25.1</v>
      </c>
      <c r="R14" s="30">
        <v>107.3</v>
      </c>
      <c r="S14" s="30">
        <v>101.7</v>
      </c>
      <c r="T14" s="22">
        <v>157.8</v>
      </c>
      <c r="U14" s="30">
        <v>85.1</v>
      </c>
      <c r="V14" s="22">
        <v>18.3</v>
      </c>
      <c r="W14" s="22">
        <v>37.4</v>
      </c>
      <c r="X14" s="22"/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1"/>
        <v>250.2</v>
      </c>
      <c r="D15" s="29">
        <v>2.1</v>
      </c>
      <c r="E15" s="22">
        <v>1</v>
      </c>
      <c r="F15" s="22">
        <v>22.8</v>
      </c>
      <c r="G15" s="22">
        <v>7.1</v>
      </c>
      <c r="H15" s="22">
        <v>1.2</v>
      </c>
      <c r="I15" s="22">
        <v>12.3</v>
      </c>
      <c r="J15" s="22">
        <v>4.5</v>
      </c>
      <c r="K15" s="22">
        <v>11.2</v>
      </c>
      <c r="L15" s="22">
        <v>7.7</v>
      </c>
      <c r="M15" s="22">
        <v>6.3</v>
      </c>
      <c r="N15" s="22">
        <v>8.4</v>
      </c>
      <c r="O15" s="22">
        <v>6.2</v>
      </c>
      <c r="P15" s="22">
        <v>73.6</v>
      </c>
      <c r="Q15" s="22">
        <v>13.6</v>
      </c>
      <c r="R15" s="30">
        <v>8.9</v>
      </c>
      <c r="S15" s="30">
        <v>12.2</v>
      </c>
      <c r="T15" s="22">
        <v>7.6</v>
      </c>
      <c r="U15" s="30">
        <v>19.6</v>
      </c>
      <c r="V15" s="22">
        <v>9.8</v>
      </c>
      <c r="W15" s="22">
        <v>14.1</v>
      </c>
      <c r="X15" s="22"/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18" customHeight="1">
      <c r="B16" s="27" t="s">
        <v>16</v>
      </c>
      <c r="C16" s="28">
        <f t="shared" si="1"/>
        <v>339.1</v>
      </c>
      <c r="D16" s="29">
        <v>1.4</v>
      </c>
      <c r="E16" s="22">
        <v>6.5</v>
      </c>
      <c r="F16" s="22">
        <v>34.8</v>
      </c>
      <c r="G16" s="22">
        <v>7.5</v>
      </c>
      <c r="H16" s="22">
        <v>5.5</v>
      </c>
      <c r="I16" s="22">
        <v>5.3</v>
      </c>
      <c r="J16" s="22">
        <v>13.9</v>
      </c>
      <c r="K16" s="22">
        <v>9.1</v>
      </c>
      <c r="L16" s="22">
        <v>13.7</v>
      </c>
      <c r="M16" s="22">
        <v>6.9</v>
      </c>
      <c r="N16" s="22">
        <v>86.1</v>
      </c>
      <c r="O16" s="22">
        <v>15.1</v>
      </c>
      <c r="P16" s="22">
        <v>12</v>
      </c>
      <c r="Q16" s="22">
        <v>11.9</v>
      </c>
      <c r="R16" s="30">
        <v>32.2</v>
      </c>
      <c r="S16" s="30">
        <v>5.1</v>
      </c>
      <c r="T16" s="22">
        <v>11.6</v>
      </c>
      <c r="U16" s="30">
        <v>18.9</v>
      </c>
      <c r="V16" s="22">
        <v>32.8</v>
      </c>
      <c r="W16" s="22">
        <v>8.8</v>
      </c>
      <c r="X16" s="30"/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21936.300000000003</v>
      </c>
      <c r="D17" s="38">
        <f>SUM(D6:D8)</f>
        <v>2797.3</v>
      </c>
      <c r="E17" s="38">
        <f aca="true" t="shared" si="2" ref="E17:Y17">SUM(E6:E8)</f>
        <v>518.1</v>
      </c>
      <c r="F17" s="38">
        <f t="shared" si="2"/>
        <v>618.8</v>
      </c>
      <c r="G17" s="38">
        <f t="shared" si="2"/>
        <v>371.3</v>
      </c>
      <c r="H17" s="38">
        <f t="shared" si="2"/>
        <v>3180.5</v>
      </c>
      <c r="I17" s="38">
        <f t="shared" si="2"/>
        <v>363.20000000000005</v>
      </c>
      <c r="J17" s="38">
        <f t="shared" si="2"/>
        <v>386.7</v>
      </c>
      <c r="K17" s="38">
        <f t="shared" si="2"/>
        <v>914.8000000000002</v>
      </c>
      <c r="L17" s="38">
        <f t="shared" si="2"/>
        <v>990.2</v>
      </c>
      <c r="M17" s="38">
        <f>SUM(M6:M8)</f>
        <v>1010.5999999999999</v>
      </c>
      <c r="N17" s="38">
        <f t="shared" si="2"/>
        <v>2124.4</v>
      </c>
      <c r="O17" s="38">
        <f t="shared" si="2"/>
        <v>557</v>
      </c>
      <c r="P17" s="38">
        <f t="shared" si="2"/>
        <v>881.5</v>
      </c>
      <c r="Q17" s="38">
        <f t="shared" si="2"/>
        <v>649</v>
      </c>
      <c r="R17" s="38">
        <f t="shared" si="2"/>
        <v>481.9</v>
      </c>
      <c r="S17" s="38">
        <f>SUM(S6:S8)</f>
        <v>1312.5</v>
      </c>
      <c r="T17" s="38">
        <f>SUM(T6:T8)</f>
        <v>2388.7000000000003</v>
      </c>
      <c r="U17" s="38">
        <f t="shared" si="2"/>
        <v>1182.4999999999998</v>
      </c>
      <c r="V17" s="38">
        <f t="shared" si="2"/>
        <v>554.5</v>
      </c>
      <c r="W17" s="38">
        <f t="shared" si="2"/>
        <v>652.8</v>
      </c>
      <c r="X17" s="38">
        <f t="shared" si="2"/>
        <v>0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.75">
      <c r="B18" s="39" t="s">
        <v>18</v>
      </c>
      <c r="C18" s="40">
        <f>C19+C23+C29+C32+C33+C35+C36+C41+C45+C49+C52+C56+C64+C71+C77+C78+C82+C31+C67+C75+C73+C74+C79+C80+C81+C70+C34+C62+C76</f>
        <v>21393.892</v>
      </c>
      <c r="D18" s="40">
        <f aca="true" t="shared" si="3" ref="D18:AA18">D19+D23+D29+D32+D33+D35+D36+D41+D45+D49+D52+D56+D64+D71+D77+D78+D82+D31+D67+D75+D73+D74+D79+D80+D81+D70+D34+D62+D76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488.693</v>
      </c>
      <c r="K18" s="40">
        <f t="shared" si="3"/>
        <v>3189.7839999999997</v>
      </c>
      <c r="L18" s="40">
        <f t="shared" si="3"/>
        <v>0</v>
      </c>
      <c r="M18" s="40">
        <f t="shared" si="3"/>
        <v>2413.654</v>
      </c>
      <c r="N18" s="40">
        <f t="shared" si="3"/>
        <v>0</v>
      </c>
      <c r="O18" s="40">
        <f t="shared" si="3"/>
        <v>210.139</v>
      </c>
      <c r="P18" s="40">
        <f t="shared" si="3"/>
        <v>409.13800000000003</v>
      </c>
      <c r="Q18" s="40">
        <f t="shared" si="3"/>
        <v>0</v>
      </c>
      <c r="R18" s="40">
        <f t="shared" si="3"/>
        <v>8242.819</v>
      </c>
      <c r="S18" s="40">
        <f t="shared" si="3"/>
        <v>0</v>
      </c>
      <c r="T18" s="40">
        <f t="shared" si="3"/>
        <v>1050.107</v>
      </c>
      <c r="U18" s="40">
        <f t="shared" si="3"/>
        <v>0</v>
      </c>
      <c r="V18" s="40">
        <f t="shared" si="3"/>
        <v>0</v>
      </c>
      <c r="W18" s="40">
        <f t="shared" si="3"/>
        <v>-0.207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16004.127</v>
      </c>
      <c r="AB18" s="41">
        <f aca="true" t="shared" si="4" ref="AB18:AB82">AA18-C18</f>
        <v>-5389.764999999999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.75">
      <c r="A19" s="1">
        <v>10116</v>
      </c>
      <c r="B19" s="42" t="s">
        <v>19</v>
      </c>
      <c r="C19" s="43">
        <f aca="true" t="shared" si="5" ref="C19:AA19">SUM(C20:C22)</f>
        <v>3414.38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292.808</v>
      </c>
      <c r="K19" s="43">
        <f t="shared" si="5"/>
        <v>939.509</v>
      </c>
      <c r="L19" s="43">
        <f t="shared" si="5"/>
        <v>0</v>
      </c>
      <c r="M19" s="43">
        <f t="shared" si="5"/>
        <v>8.363</v>
      </c>
      <c r="N19" s="43">
        <f t="shared" si="5"/>
        <v>0</v>
      </c>
      <c r="O19" s="43">
        <f t="shared" si="5"/>
        <v>0</v>
      </c>
      <c r="P19" s="43">
        <f t="shared" si="5"/>
        <v>53.734</v>
      </c>
      <c r="Q19" s="43">
        <f t="shared" si="5"/>
        <v>0</v>
      </c>
      <c r="R19" s="43">
        <f t="shared" si="5"/>
        <v>1104.5739999999998</v>
      </c>
      <c r="S19" s="43">
        <f t="shared" si="5"/>
        <v>0</v>
      </c>
      <c r="T19" s="43">
        <f>SUM(T20:T22)</f>
        <v>520.563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2919.5510000000004</v>
      </c>
      <c r="AB19" s="41">
        <f t="shared" si="4"/>
        <v>-494.8289999999997</v>
      </c>
      <c r="AD19" s="8"/>
      <c r="AE19" s="3"/>
      <c r="AF19" s="3"/>
      <c r="AG19" s="4"/>
      <c r="AH19" s="4"/>
      <c r="AI19" s="4"/>
      <c r="AJ19" s="4"/>
      <c r="AK19" s="4"/>
      <c r="AL19" s="4"/>
      <c r="AM19" s="4"/>
      <c r="AN19" s="4"/>
    </row>
    <row r="20" spans="2:33" ht="15.75">
      <c r="B20" s="44" t="s">
        <v>20</v>
      </c>
      <c r="C20" s="45">
        <f>2920+3+24.55</f>
        <v>2947.55</v>
      </c>
      <c r="D20" s="17"/>
      <c r="E20" s="17"/>
      <c r="F20" s="17"/>
      <c r="G20" s="17"/>
      <c r="H20" s="17"/>
      <c r="I20" s="22"/>
      <c r="J20" s="22">
        <v>292.808</v>
      </c>
      <c r="K20" s="17">
        <f>710.609+228.9</f>
        <v>939.509</v>
      </c>
      <c r="L20" s="17"/>
      <c r="M20" s="17"/>
      <c r="N20" s="17"/>
      <c r="O20" s="17"/>
      <c r="P20" s="17">
        <v>53.103</v>
      </c>
      <c r="Q20" s="17"/>
      <c r="R20" s="17">
        <v>1055.387</v>
      </c>
      <c r="S20" s="17"/>
      <c r="T20" s="17">
        <v>506.088</v>
      </c>
      <c r="U20" s="17"/>
      <c r="V20" s="22"/>
      <c r="W20" s="22"/>
      <c r="X20" s="22"/>
      <c r="Y20" s="17"/>
      <c r="Z20" s="17"/>
      <c r="AA20" s="17">
        <f>SUM(D20:Z20)</f>
        <v>2846.895</v>
      </c>
      <c r="AB20" s="41">
        <f t="shared" si="4"/>
        <v>-100.6550000000002</v>
      </c>
      <c r="AC20" s="7"/>
      <c r="AD20" s="66" t="s">
        <v>21</v>
      </c>
      <c r="AE20" s="67">
        <f>AA19</f>
        <v>2919.5510000000004</v>
      </c>
      <c r="AG20" s="8"/>
    </row>
    <row r="21" spans="2:33" ht="15.75">
      <c r="B21" s="44" t="s">
        <v>22</v>
      </c>
      <c r="C21" s="45">
        <f>248.79-20</f>
        <v>228.79</v>
      </c>
      <c r="D21" s="17"/>
      <c r="E21" s="17"/>
      <c r="F21" s="17"/>
      <c r="G21" s="17"/>
      <c r="H21" s="17"/>
      <c r="I21" s="22"/>
      <c r="J21" s="22"/>
      <c r="K21" s="17"/>
      <c r="L21" s="17"/>
      <c r="M21" s="17"/>
      <c r="N21" s="17"/>
      <c r="O21" s="17"/>
      <c r="P21" s="17">
        <v>0.241</v>
      </c>
      <c r="Q21" s="17"/>
      <c r="R21" s="17"/>
      <c r="S21" s="17"/>
      <c r="T21" s="17">
        <v>0.019</v>
      </c>
      <c r="U21" s="17"/>
      <c r="V21" s="22"/>
      <c r="W21" s="22"/>
      <c r="X21" s="22"/>
      <c r="Y21" s="17"/>
      <c r="Z21" s="17"/>
      <c r="AA21" s="17">
        <f>SUM(D21:Z21)</f>
        <v>0.26</v>
      </c>
      <c r="AB21" s="41">
        <f t="shared" si="4"/>
        <v>-228.53</v>
      </c>
      <c r="AC21" s="7"/>
      <c r="AD21" s="66" t="s">
        <v>23</v>
      </c>
      <c r="AE21" s="67">
        <f>AA23</f>
        <v>9685.163</v>
      </c>
      <c r="AG21" s="8"/>
    </row>
    <row r="22" spans="2:33" ht="15.75">
      <c r="B22" s="44" t="s">
        <v>24</v>
      </c>
      <c r="C22" s="45">
        <f>234.82+3.22</f>
        <v>238.04</v>
      </c>
      <c r="D22" s="17"/>
      <c r="E22" s="17"/>
      <c r="F22" s="17"/>
      <c r="G22" s="17"/>
      <c r="H22" s="17"/>
      <c r="I22" s="17"/>
      <c r="J22" s="17"/>
      <c r="K22" s="17"/>
      <c r="L22" s="17"/>
      <c r="M22" s="17">
        <v>8.363</v>
      </c>
      <c r="N22" s="17"/>
      <c r="O22" s="17"/>
      <c r="P22" s="17">
        <v>0.39</v>
      </c>
      <c r="Q22" s="17"/>
      <c r="R22" s="17">
        <v>49.187</v>
      </c>
      <c r="S22" s="17"/>
      <c r="T22" s="17">
        <v>14.456</v>
      </c>
      <c r="U22" s="17"/>
      <c r="V22" s="17"/>
      <c r="W22" s="17"/>
      <c r="X22" s="17"/>
      <c r="Y22" s="17"/>
      <c r="Z22" s="17"/>
      <c r="AA22" s="17">
        <f>SUM(D22:Z22)</f>
        <v>72.396</v>
      </c>
      <c r="AB22" s="41">
        <f t="shared" si="4"/>
        <v>-165.644</v>
      </c>
      <c r="AC22" s="7"/>
      <c r="AD22" s="66" t="s">
        <v>25</v>
      </c>
      <c r="AE22" s="67">
        <f>$AA$29+$AA$31</f>
        <v>84.809</v>
      </c>
      <c r="AG22" s="8"/>
    </row>
    <row r="23" spans="1:40" s="1" customFormat="1" ht="15.75">
      <c r="A23" s="1">
        <v>7000</v>
      </c>
      <c r="B23" s="42" t="s">
        <v>67</v>
      </c>
      <c r="C23" s="43">
        <f aca="true" t="shared" si="6" ref="C23:AA23">SUM(C24:C28)</f>
        <v>13409.244999999999</v>
      </c>
      <c r="D23" s="43">
        <f t="shared" si="6"/>
        <v>0</v>
      </c>
      <c r="E23" s="43">
        <f>SUM(E24:E28)</f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89.447</v>
      </c>
      <c r="K23" s="43">
        <f t="shared" si="6"/>
        <v>2107.0499999999997</v>
      </c>
      <c r="L23" s="43">
        <f t="shared" si="6"/>
        <v>0</v>
      </c>
      <c r="M23" s="43">
        <f t="shared" si="6"/>
        <v>1400.2440000000001</v>
      </c>
      <c r="N23" s="43">
        <f t="shared" si="6"/>
        <v>0</v>
      </c>
      <c r="O23" s="43">
        <f t="shared" si="6"/>
        <v>52.103</v>
      </c>
      <c r="P23" s="43">
        <f t="shared" si="6"/>
        <v>330.32000000000005</v>
      </c>
      <c r="Q23" s="43">
        <f>SUM(Q24:Q28)</f>
        <v>0</v>
      </c>
      <c r="R23" s="43">
        <f t="shared" si="6"/>
        <v>5597.683</v>
      </c>
      <c r="S23" s="43">
        <f t="shared" si="6"/>
        <v>0</v>
      </c>
      <c r="T23" s="43">
        <f>SUM(T24:T28)</f>
        <v>108.523</v>
      </c>
      <c r="U23" s="43">
        <f>SUM(U24:U28)</f>
        <v>0</v>
      </c>
      <c r="V23" s="43">
        <f t="shared" si="6"/>
        <v>0</v>
      </c>
      <c r="W23" s="43">
        <f t="shared" si="6"/>
        <v>-0.207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9685.163</v>
      </c>
      <c r="AB23" s="41">
        <f t="shared" si="4"/>
        <v>-3724.0819999999985</v>
      </c>
      <c r="AC23" s="2"/>
      <c r="AD23" s="66" t="s">
        <v>26</v>
      </c>
      <c r="AE23" s="67">
        <f>$AA$32+$AA$33+$AA$36+$AA$41+$AA$45+$AA$35+$AA$34</f>
        <v>1012.597</v>
      </c>
      <c r="AF23" s="3"/>
      <c r="AG23" s="3"/>
      <c r="AH23" s="4"/>
      <c r="AI23" s="4"/>
      <c r="AJ23" s="4"/>
      <c r="AK23" s="4"/>
      <c r="AL23" s="4"/>
      <c r="AM23" s="4"/>
      <c r="AN23" s="4"/>
    </row>
    <row r="24" spans="2:33" ht="15.75">
      <c r="B24" s="44" t="s">
        <v>20</v>
      </c>
      <c r="C24" s="45">
        <f>9265.485-3+314.355</f>
        <v>9576.84</v>
      </c>
      <c r="D24" s="17"/>
      <c r="E24" s="17"/>
      <c r="F24" s="17"/>
      <c r="G24" s="17"/>
      <c r="H24" s="17"/>
      <c r="I24" s="17"/>
      <c r="J24" s="22">
        <v>89.267</v>
      </c>
      <c r="K24" s="17">
        <f>1351.673+755.141</f>
        <v>2106.814</v>
      </c>
      <c r="L24" s="17"/>
      <c r="M24" s="17">
        <f>544.927+845.48</f>
        <v>1390.4070000000002</v>
      </c>
      <c r="N24" s="17"/>
      <c r="O24" s="17"/>
      <c r="P24" s="17">
        <v>290.86</v>
      </c>
      <c r="Q24" s="17"/>
      <c r="R24" s="17">
        <f>3391.172+31.903+3.871+1830.18</f>
        <v>5257.126</v>
      </c>
      <c r="S24" s="17"/>
      <c r="T24" s="17">
        <f>8.215+3.002</f>
        <v>11.216999999999999</v>
      </c>
      <c r="U24" s="17"/>
      <c r="V24" s="22"/>
      <c r="W24" s="22"/>
      <c r="X24" s="22"/>
      <c r="Y24" s="17"/>
      <c r="Z24" s="17"/>
      <c r="AA24" s="17">
        <f>SUM(D24:Z24)</f>
        <v>9145.691</v>
      </c>
      <c r="AB24" s="41">
        <f t="shared" si="4"/>
        <v>-431.14899999999943</v>
      </c>
      <c r="AC24" s="7"/>
      <c r="AD24" s="66" t="s">
        <v>27</v>
      </c>
      <c r="AE24" s="67">
        <f>$AA$64+$AA$67+$AA$74+$AA$62</f>
        <v>824.037</v>
      </c>
      <c r="AG24" s="8"/>
    </row>
    <row r="25" spans="2:33" ht="15.75">
      <c r="B25" s="44" t="s">
        <v>28</v>
      </c>
      <c r="C25" s="45">
        <v>4.3</v>
      </c>
      <c r="D25" s="17"/>
      <c r="E25" s="17"/>
      <c r="F25" s="17"/>
      <c r="G25" s="17"/>
      <c r="H25" s="17"/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0</v>
      </c>
      <c r="AB25" s="41">
        <f t="shared" si="4"/>
        <v>-4.3</v>
      </c>
      <c r="AC25" s="7"/>
      <c r="AD25" s="66" t="s">
        <v>29</v>
      </c>
      <c r="AE25" s="67">
        <f>$AA$52</f>
        <v>534.16</v>
      </c>
      <c r="AG25" s="8"/>
    </row>
    <row r="26" spans="2:33" ht="15.75">
      <c r="B26" s="44" t="s">
        <v>30</v>
      </c>
      <c r="C26" s="45">
        <v>658.7</v>
      </c>
      <c r="D26" s="17"/>
      <c r="E26" s="17"/>
      <c r="F26" s="17"/>
      <c r="G26" s="17"/>
      <c r="H26" s="17"/>
      <c r="I26" s="17"/>
      <c r="J26" s="22"/>
      <c r="K26" s="17"/>
      <c r="L26" s="17"/>
      <c r="M26" s="17"/>
      <c r="N26" s="17"/>
      <c r="O26" s="17"/>
      <c r="P26" s="17">
        <v>38.077</v>
      </c>
      <c r="Q26" s="17"/>
      <c r="R26" s="17">
        <v>288.298</v>
      </c>
      <c r="S26" s="17"/>
      <c r="T26" s="17">
        <v>92.017</v>
      </c>
      <c r="U26" s="17"/>
      <c r="V26" s="22"/>
      <c r="W26" s="22"/>
      <c r="X26" s="22"/>
      <c r="Y26" s="17"/>
      <c r="Z26" s="17"/>
      <c r="AA26" s="17">
        <f>SUM(D26:Z26)</f>
        <v>418.392</v>
      </c>
      <c r="AB26" s="41">
        <f t="shared" si="4"/>
        <v>-240.30800000000005</v>
      </c>
      <c r="AC26" s="7"/>
      <c r="AD26" s="66" t="s">
        <v>31</v>
      </c>
      <c r="AE26" s="67">
        <f>$AA$56</f>
        <v>453.59999999999997</v>
      </c>
      <c r="AG26" s="8"/>
    </row>
    <row r="27" spans="2:33" ht="15.75">
      <c r="B27" s="44" t="s">
        <v>22</v>
      </c>
      <c r="C27" s="45">
        <f>3188.88-314.355</f>
        <v>2874.525</v>
      </c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>
        <v>0.422</v>
      </c>
      <c r="Q27" s="17"/>
      <c r="R27" s="17">
        <v>21.1</v>
      </c>
      <c r="S27" s="17"/>
      <c r="T27" s="17">
        <v>2.165</v>
      </c>
      <c r="U27" s="17"/>
      <c r="V27" s="22"/>
      <c r="W27" s="22">
        <v>-0.207</v>
      </c>
      <c r="X27" s="22"/>
      <c r="Y27" s="17"/>
      <c r="Z27" s="17"/>
      <c r="AA27" s="17">
        <f>SUM(D27:Z27)</f>
        <v>23.48</v>
      </c>
      <c r="AB27" s="41">
        <f t="shared" si="4"/>
        <v>-2851.045</v>
      </c>
      <c r="AC27" s="7"/>
      <c r="AD27" s="66" t="s">
        <v>32</v>
      </c>
      <c r="AE27" s="67">
        <f>$AA$49+$AA$71+$AA$77+$AA$78+$AA$82+$AA$73+$AA$75+$AA$79+$AA$80+$AA$81+$AA$76</f>
        <v>490.21000000000004</v>
      </c>
      <c r="AG27" s="8"/>
    </row>
    <row r="28" spans="2:33" ht="15.75">
      <c r="B28" s="44" t="s">
        <v>24</v>
      </c>
      <c r="C28" s="45">
        <v>294.88</v>
      </c>
      <c r="D28" s="17"/>
      <c r="E28" s="17"/>
      <c r="F28" s="17"/>
      <c r="G28" s="17"/>
      <c r="H28" s="17"/>
      <c r="I28" s="17"/>
      <c r="J28" s="17">
        <v>0.18</v>
      </c>
      <c r="K28" s="17">
        <v>0.236</v>
      </c>
      <c r="L28" s="17"/>
      <c r="M28" s="17">
        <v>9.837</v>
      </c>
      <c r="N28" s="17"/>
      <c r="O28" s="17">
        <v>52.103</v>
      </c>
      <c r="P28" s="17">
        <v>0.961</v>
      </c>
      <c r="Q28" s="17"/>
      <c r="R28" s="17">
        <v>31.159</v>
      </c>
      <c r="S28" s="17"/>
      <c r="T28" s="17">
        <v>3.124</v>
      </c>
      <c r="U28" s="17"/>
      <c r="V28" s="17"/>
      <c r="W28" s="17"/>
      <c r="X28" s="17"/>
      <c r="Y28" s="17"/>
      <c r="Z28" s="17"/>
      <c r="AA28" s="17">
        <f>SUM(D28:Z28)</f>
        <v>97.6</v>
      </c>
      <c r="AB28" s="41">
        <f t="shared" si="4"/>
        <v>-197.28</v>
      </c>
      <c r="AC28" s="7"/>
      <c r="AD28" s="68"/>
      <c r="AE28" s="69"/>
      <c r="AG28" s="8"/>
    </row>
    <row r="29" spans="2:33" ht="29.25">
      <c r="B29" s="42" t="s">
        <v>33</v>
      </c>
      <c r="C29" s="43">
        <f>C30</f>
        <v>212.7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60.907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>Q30</f>
        <v>0</v>
      </c>
      <c r="R29" s="43">
        <f>R30</f>
        <v>11.537</v>
      </c>
      <c r="S29" s="43">
        <f t="shared" si="7"/>
        <v>0</v>
      </c>
      <c r="T29" s="43">
        <f t="shared" si="7"/>
        <v>12.365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84.809</v>
      </c>
      <c r="AB29" s="41">
        <f t="shared" si="4"/>
        <v>-127.89099999999999</v>
      </c>
      <c r="AC29" s="7"/>
      <c r="AD29" s="9"/>
      <c r="AE29" s="46"/>
      <c r="AG29" s="8"/>
    </row>
    <row r="30" spans="2:31" ht="15.75">
      <c r="B30" s="47" t="s">
        <v>34</v>
      </c>
      <c r="C30" s="34">
        <v>212.7</v>
      </c>
      <c r="D30" s="22"/>
      <c r="E30" s="22"/>
      <c r="F30" s="22"/>
      <c r="G30" s="22"/>
      <c r="H30" s="22"/>
      <c r="I30" s="22"/>
      <c r="J30" s="22"/>
      <c r="K30" s="22"/>
      <c r="L30" s="22"/>
      <c r="M30" s="22">
        <v>60.907</v>
      </c>
      <c r="N30" s="22"/>
      <c r="O30" s="22"/>
      <c r="P30" s="22"/>
      <c r="Q30" s="22"/>
      <c r="R30" s="22">
        <v>11.537</v>
      </c>
      <c r="S30" s="22"/>
      <c r="T30" s="22">
        <v>12.365</v>
      </c>
      <c r="U30" s="22"/>
      <c r="V30" s="22"/>
      <c r="W30" s="22"/>
      <c r="X30" s="22"/>
      <c r="Y30" s="34"/>
      <c r="Z30" s="34"/>
      <c r="AA30" s="17">
        <f aca="true" t="shared" si="8" ref="AA30:AA35">SUM(D30:Z30)</f>
        <v>84.809</v>
      </c>
      <c r="AB30" s="41">
        <f t="shared" si="4"/>
        <v>-127.89099999999999</v>
      </c>
      <c r="AE30" s="48"/>
    </row>
    <row r="31" spans="2:31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9.25">
      <c r="A32" s="1" t="s">
        <v>36</v>
      </c>
      <c r="B32" s="42" t="s">
        <v>37</v>
      </c>
      <c r="C32" s="43">
        <v>94.327</v>
      </c>
      <c r="D32" s="43"/>
      <c r="E32" s="43"/>
      <c r="F32" s="43"/>
      <c r="G32" s="43"/>
      <c r="H32" s="43"/>
      <c r="I32" s="43"/>
      <c r="J32" s="43"/>
      <c r="K32" s="43"/>
      <c r="L32" s="43"/>
      <c r="M32" s="43">
        <v>2.027</v>
      </c>
      <c r="N32" s="43"/>
      <c r="O32" s="43">
        <v>3.289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>
        <f t="shared" si="8"/>
        <v>5.316000000000001</v>
      </c>
      <c r="AB32" s="41">
        <f t="shared" si="4"/>
        <v>-89.011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3.5">
      <c r="B33" s="42" t="s">
        <v>38</v>
      </c>
      <c r="C33" s="43">
        <v>160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>
        <v>136</v>
      </c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/>
      <c r="AA33" s="43">
        <f t="shared" si="8"/>
        <v>136</v>
      </c>
      <c r="AB33" s="41">
        <f t="shared" si="4"/>
        <v>-24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/>
      <c r="AA34" s="43">
        <f t="shared" si="8"/>
        <v>0</v>
      </c>
      <c r="AB34" s="41">
        <f t="shared" si="4"/>
        <v>0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57.75" hidden="1">
      <c r="B35" s="42" t="s">
        <v>40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>
        <f t="shared" si="8"/>
        <v>0</v>
      </c>
      <c r="AB35" s="41">
        <f t="shared" si="4"/>
        <v>0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.75">
      <c r="B36" s="42" t="s">
        <v>41</v>
      </c>
      <c r="C36" s="43">
        <f aca="true" t="shared" si="9" ref="C36:AA36">SUM(C37:C40)</f>
        <v>686.5999999999999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179.955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453.601</v>
      </c>
      <c r="S36" s="43">
        <f t="shared" si="9"/>
        <v>0</v>
      </c>
      <c r="T36" s="43">
        <f t="shared" si="9"/>
        <v>0.193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633.7489999999999</v>
      </c>
      <c r="AB36" s="41">
        <f t="shared" si="4"/>
        <v>-52.851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.75">
      <c r="B37" s="44" t="s">
        <v>20</v>
      </c>
      <c r="C37" s="45">
        <v>644</v>
      </c>
      <c r="D37" s="17"/>
      <c r="E37" s="17"/>
      <c r="F37" s="17"/>
      <c r="G37" s="17"/>
      <c r="H37" s="17"/>
      <c r="I37" s="17"/>
      <c r="J37" s="22"/>
      <c r="K37" s="17"/>
      <c r="L37" s="17"/>
      <c r="M37" s="17">
        <v>179.955</v>
      </c>
      <c r="N37" s="17"/>
      <c r="O37" s="17"/>
      <c r="P37" s="50"/>
      <c r="Q37" s="17"/>
      <c r="R37" s="50">
        <v>452.599</v>
      </c>
      <c r="S37" s="17"/>
      <c r="T37" s="17"/>
      <c r="U37" s="17"/>
      <c r="V37" s="22"/>
      <c r="W37" s="22"/>
      <c r="X37" s="17"/>
      <c r="Y37" s="17"/>
      <c r="Z37" s="17"/>
      <c r="AA37" s="17">
        <f>SUM(D37:Z37)</f>
        <v>632.554</v>
      </c>
      <c r="AB37" s="41">
        <f t="shared" si="4"/>
        <v>-11.446000000000026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.75">
      <c r="B38" s="44" t="s">
        <v>28</v>
      </c>
      <c r="C38" s="45">
        <v>1.8</v>
      </c>
      <c r="D38" s="17"/>
      <c r="E38" s="17"/>
      <c r="F38" s="17"/>
      <c r="G38" s="17"/>
      <c r="H38" s="17"/>
      <c r="I38" s="17"/>
      <c r="J38" s="22"/>
      <c r="K38" s="17"/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0</v>
      </c>
      <c r="AB38" s="41">
        <f t="shared" si="4"/>
        <v>-1.8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.75">
      <c r="B39" s="44" t="s">
        <v>22</v>
      </c>
      <c r="C39" s="45">
        <v>36.5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>
        <v>0.684</v>
      </c>
      <c r="S39" s="17"/>
      <c r="T39" s="17">
        <v>0.193</v>
      </c>
      <c r="U39" s="17"/>
      <c r="V39" s="22"/>
      <c r="W39" s="22"/>
      <c r="X39" s="17"/>
      <c r="Y39" s="17"/>
      <c r="Z39" s="17"/>
      <c r="AA39" s="17">
        <f>SUM(D39:Z39)</f>
        <v>0.877</v>
      </c>
      <c r="AB39" s="41">
        <f t="shared" si="4"/>
        <v>-35.623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.75">
      <c r="B40" s="44" t="s">
        <v>24</v>
      </c>
      <c r="C40" s="45">
        <v>4.3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>
        <v>0.318</v>
      </c>
      <c r="S40" s="17"/>
      <c r="T40" s="17"/>
      <c r="U40" s="17"/>
      <c r="V40" s="17"/>
      <c r="W40" s="17"/>
      <c r="X40" s="17"/>
      <c r="Y40" s="17"/>
      <c r="Z40" s="17"/>
      <c r="AA40" s="17">
        <f>SUM(D40:Z40)</f>
        <v>0.318</v>
      </c>
      <c r="AB40" s="41">
        <f t="shared" si="4"/>
        <v>-3.9819999999999998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.75">
      <c r="B41" s="42" t="s">
        <v>42</v>
      </c>
      <c r="C41" s="43">
        <f aca="true" t="shared" si="10" ref="C41:S41">SUM(C42:C44)</f>
        <v>198.21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44.065</v>
      </c>
      <c r="N41" s="43">
        <f t="shared" si="10"/>
        <v>0</v>
      </c>
      <c r="O41" s="43">
        <f t="shared" si="10"/>
        <v>5.387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>SUM(T42:T44)</f>
        <v>108.245</v>
      </c>
      <c r="U41" s="43">
        <f>SUM(U42:U44)</f>
        <v>0</v>
      </c>
      <c r="V41" s="43">
        <f aca="true" t="shared" si="11" ref="V41:AA41">SUM(V42:V44)</f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>SUM(Z42:Z44)</f>
        <v>0</v>
      </c>
      <c r="AA41" s="43">
        <f t="shared" si="11"/>
        <v>157.697</v>
      </c>
      <c r="AB41" s="41">
        <f t="shared" si="4"/>
        <v>-40.513000000000005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.75">
      <c r="B42" s="44" t="s">
        <v>20</v>
      </c>
      <c r="C42" s="45">
        <v>171</v>
      </c>
      <c r="D42" s="17"/>
      <c r="E42" s="17"/>
      <c r="F42" s="17"/>
      <c r="G42" s="17"/>
      <c r="H42" s="17"/>
      <c r="I42" s="17"/>
      <c r="J42" s="22"/>
      <c r="K42" s="17"/>
      <c r="L42" s="17"/>
      <c r="M42" s="17">
        <v>44.065</v>
      </c>
      <c r="N42" s="17"/>
      <c r="O42" s="17"/>
      <c r="P42" s="50"/>
      <c r="Q42" s="17"/>
      <c r="R42" s="50"/>
      <c r="S42" s="17"/>
      <c r="T42" s="17">
        <v>104.274</v>
      </c>
      <c r="U42" s="17"/>
      <c r="V42" s="22"/>
      <c r="W42" s="22"/>
      <c r="X42" s="17"/>
      <c r="Y42" s="17"/>
      <c r="Z42" s="17"/>
      <c r="AA42" s="17">
        <f>SUM(D42:Z42)</f>
        <v>148.339</v>
      </c>
      <c r="AB42" s="41">
        <f t="shared" si="4"/>
        <v>-22.661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.75">
      <c r="B43" s="44" t="s">
        <v>22</v>
      </c>
      <c r="C43" s="45">
        <v>16.71</v>
      </c>
      <c r="D43" s="17"/>
      <c r="E43" s="17"/>
      <c r="F43" s="17"/>
      <c r="G43" s="17"/>
      <c r="H43" s="17"/>
      <c r="I43" s="17"/>
      <c r="J43" s="22"/>
      <c r="K43" s="17"/>
      <c r="L43" s="17"/>
      <c r="M43" s="17"/>
      <c r="N43" s="17"/>
      <c r="O43" s="17">
        <v>0.169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/>
      <c r="AA43" s="17">
        <f>SUM(D43:Z43)</f>
        <v>0.169</v>
      </c>
      <c r="AB43" s="41">
        <f t="shared" si="4"/>
        <v>-16.541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.75">
      <c r="B44" s="44" t="s">
        <v>24</v>
      </c>
      <c r="C44" s="45">
        <v>10.5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5.218</v>
      </c>
      <c r="P44" s="17"/>
      <c r="Q44" s="17"/>
      <c r="R44" s="17"/>
      <c r="S44" s="17"/>
      <c r="T44" s="17">
        <v>3.971</v>
      </c>
      <c r="U44" s="17"/>
      <c r="V44" s="17"/>
      <c r="W44" s="17"/>
      <c r="X44" s="17"/>
      <c r="Y44" s="17"/>
      <c r="Z44" s="17"/>
      <c r="AA44" s="17">
        <f>SUM(D44:Z44)</f>
        <v>9.189</v>
      </c>
      <c r="AB44" s="41">
        <f t="shared" si="4"/>
        <v>-1.311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.75">
      <c r="B45" s="42" t="s">
        <v>43</v>
      </c>
      <c r="C45" s="43">
        <f aca="true" t="shared" si="12" ref="C45:Y45">SUM(C46:C48)</f>
        <v>111.7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0</v>
      </c>
      <c r="K45" s="43">
        <f t="shared" si="12"/>
        <v>0</v>
      </c>
      <c r="L45" s="43">
        <f t="shared" si="12"/>
        <v>0</v>
      </c>
      <c r="M45" s="43">
        <f t="shared" si="12"/>
        <v>35.214</v>
      </c>
      <c r="N45" s="43">
        <f t="shared" si="12"/>
        <v>0</v>
      </c>
      <c r="O45" s="43">
        <f t="shared" si="12"/>
        <v>0</v>
      </c>
      <c r="P45" s="43">
        <f t="shared" si="12"/>
        <v>0</v>
      </c>
      <c r="Q45" s="43">
        <f t="shared" si="12"/>
        <v>0</v>
      </c>
      <c r="R45" s="43">
        <f t="shared" si="12"/>
        <v>44.621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 t="shared" si="12"/>
        <v>0</v>
      </c>
      <c r="Z45" s="43">
        <f>SUM(Z46:Z48)</f>
        <v>0</v>
      </c>
      <c r="AA45" s="43">
        <f>SUM(D45:Y45)</f>
        <v>79.83500000000001</v>
      </c>
      <c r="AB45" s="41">
        <f t="shared" si="4"/>
        <v>-31.864999999999995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.75">
      <c r="B46" s="44" t="s">
        <v>20</v>
      </c>
      <c r="C46" s="45">
        <v>105.5</v>
      </c>
      <c r="D46" s="17"/>
      <c r="E46" s="17"/>
      <c r="F46" s="17"/>
      <c r="G46" s="17"/>
      <c r="H46" s="17"/>
      <c r="I46" s="17"/>
      <c r="J46" s="22"/>
      <c r="K46" s="17"/>
      <c r="L46" s="17"/>
      <c r="M46" s="17">
        <v>35.214</v>
      </c>
      <c r="N46" s="17"/>
      <c r="O46" s="17"/>
      <c r="P46" s="17"/>
      <c r="Q46" s="17"/>
      <c r="R46" s="17">
        <v>44.621</v>
      </c>
      <c r="S46" s="17"/>
      <c r="T46" s="17"/>
      <c r="U46" s="17"/>
      <c r="V46" s="22"/>
      <c r="W46" s="22"/>
      <c r="X46" s="22"/>
      <c r="Y46" s="22"/>
      <c r="Z46" s="22"/>
      <c r="AA46" s="17">
        <f>SUM(D46:Z46)</f>
        <v>79.83500000000001</v>
      </c>
      <c r="AB46" s="41">
        <f t="shared" si="4"/>
        <v>-25.664999999999992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.75">
      <c r="B47" s="44" t="s">
        <v>22</v>
      </c>
      <c r="C47" s="45">
        <v>6.2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/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22"/>
      <c r="AA47" s="17">
        <f>SUM(D47:Z47)</f>
        <v>0</v>
      </c>
      <c r="AB47" s="41">
        <f t="shared" si="4"/>
        <v>-6.2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.75">
      <c r="B48" s="44" t="s">
        <v>24</v>
      </c>
      <c r="C48" s="45"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f>SUM(D48:Z48)</f>
        <v>0</v>
      </c>
      <c r="AB48" s="41">
        <f t="shared" si="4"/>
        <v>0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1:40" s="1" customFormat="1" ht="15.75" hidden="1">
      <c r="A49" s="1">
        <v>90501</v>
      </c>
      <c r="B49" s="42" t="s">
        <v>44</v>
      </c>
      <c r="C49" s="43">
        <f>C50+C51</f>
        <v>0</v>
      </c>
      <c r="D49" s="43">
        <f aca="true" t="shared" si="13" ref="D49:Y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 t="shared" si="13"/>
        <v>0</v>
      </c>
      <c r="Z49" s="43">
        <f>Z50+Z51</f>
        <v>0</v>
      </c>
      <c r="AA49" s="43">
        <f>SUM(D49:Y49)</f>
        <v>0</v>
      </c>
      <c r="AB49" s="41">
        <f t="shared" si="4"/>
        <v>0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2:40" s="51" customFormat="1" ht="15.75" hidden="1">
      <c r="B50" s="44" t="s">
        <v>20</v>
      </c>
      <c r="C50" s="34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17">
        <f>SUM(D50:Z50)</f>
        <v>0</v>
      </c>
      <c r="AB50" s="41">
        <f t="shared" si="4"/>
        <v>0</v>
      </c>
      <c r="AD50" s="52"/>
      <c r="AE50" s="53"/>
      <c r="AF50" s="54"/>
      <c r="AG50" s="55"/>
      <c r="AH50" s="55"/>
      <c r="AI50" s="55"/>
      <c r="AJ50" s="55"/>
      <c r="AK50" s="55"/>
      <c r="AL50" s="55"/>
      <c r="AM50" s="55"/>
      <c r="AN50" s="55"/>
    </row>
    <row r="51" spans="2:40" s="51" customFormat="1" ht="15.75" hidden="1">
      <c r="B51" s="44" t="s">
        <v>34</v>
      </c>
      <c r="C51" s="3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7">
        <f>SUM(D51:Z51)</f>
        <v>0</v>
      </c>
      <c r="AB51" s="41">
        <f t="shared" si="4"/>
        <v>0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1:40" s="1" customFormat="1" ht="15.75">
      <c r="A52" s="1">
        <v>110000</v>
      </c>
      <c r="B52" s="42" t="s">
        <v>45</v>
      </c>
      <c r="C52" s="43">
        <f aca="true" t="shared" si="14" ref="C52:AA52">SUM(C53:C55)</f>
        <v>764.68</v>
      </c>
      <c r="D52" s="43">
        <f t="shared" si="14"/>
        <v>0</v>
      </c>
      <c r="E52" s="43">
        <f t="shared" si="14"/>
        <v>0</v>
      </c>
      <c r="F52" s="43">
        <f t="shared" si="14"/>
        <v>0</v>
      </c>
      <c r="G52" s="43">
        <f t="shared" si="14"/>
        <v>0</v>
      </c>
      <c r="H52" s="43">
        <f t="shared" si="14"/>
        <v>0</v>
      </c>
      <c r="I52" s="43">
        <f t="shared" si="14"/>
        <v>0</v>
      </c>
      <c r="J52" s="43">
        <f t="shared" si="14"/>
        <v>0</v>
      </c>
      <c r="K52" s="43">
        <f t="shared" si="14"/>
        <v>143.225</v>
      </c>
      <c r="L52" s="43">
        <f t="shared" si="14"/>
        <v>0</v>
      </c>
      <c r="M52" s="43">
        <f t="shared" si="14"/>
        <v>0</v>
      </c>
      <c r="N52" s="43">
        <f t="shared" si="14"/>
        <v>0</v>
      </c>
      <c r="O52" s="43">
        <f t="shared" si="14"/>
        <v>0</v>
      </c>
      <c r="P52" s="43">
        <f t="shared" si="14"/>
        <v>0.5</v>
      </c>
      <c r="Q52" s="43">
        <f t="shared" si="14"/>
        <v>0</v>
      </c>
      <c r="R52" s="43">
        <f t="shared" si="14"/>
        <v>390.43500000000006</v>
      </c>
      <c r="S52" s="43">
        <f t="shared" si="14"/>
        <v>0</v>
      </c>
      <c r="T52" s="43">
        <f t="shared" si="14"/>
        <v>0</v>
      </c>
      <c r="U52" s="43">
        <f t="shared" si="14"/>
        <v>0</v>
      </c>
      <c r="V52" s="43">
        <f t="shared" si="14"/>
        <v>0</v>
      </c>
      <c r="W52" s="43">
        <f t="shared" si="14"/>
        <v>0</v>
      </c>
      <c r="X52" s="43">
        <f t="shared" si="14"/>
        <v>0</v>
      </c>
      <c r="Y52" s="43">
        <f t="shared" si="14"/>
        <v>0</v>
      </c>
      <c r="Z52" s="43">
        <f t="shared" si="14"/>
        <v>0</v>
      </c>
      <c r="AA52" s="43">
        <f t="shared" si="14"/>
        <v>534.16</v>
      </c>
      <c r="AB52" s="41">
        <f t="shared" si="4"/>
        <v>-230.51999999999998</v>
      </c>
      <c r="AC52" s="5"/>
      <c r="AD52" s="3"/>
      <c r="AE52" s="3"/>
      <c r="AF52" s="3"/>
      <c r="AG52" s="4"/>
      <c r="AH52" s="4"/>
      <c r="AI52" s="4"/>
      <c r="AJ52" s="4"/>
      <c r="AK52" s="4"/>
      <c r="AL52" s="4"/>
      <c r="AM52" s="4"/>
      <c r="AN52" s="4"/>
    </row>
    <row r="53" spans="2:28" ht="15.75">
      <c r="B53" s="44" t="s">
        <v>20</v>
      </c>
      <c r="C53" s="45">
        <v>563.6</v>
      </c>
      <c r="D53" s="17"/>
      <c r="E53" s="17"/>
      <c r="F53" s="17"/>
      <c r="G53" s="17"/>
      <c r="H53" s="17"/>
      <c r="I53" s="17"/>
      <c r="J53" s="22"/>
      <c r="K53" s="17">
        <v>143.225</v>
      </c>
      <c r="L53" s="17"/>
      <c r="M53" s="17"/>
      <c r="N53" s="17"/>
      <c r="O53" s="17"/>
      <c r="P53" s="50"/>
      <c r="Q53" s="17"/>
      <c r="R53" s="50">
        <v>356.083</v>
      </c>
      <c r="S53" s="17"/>
      <c r="T53" s="17"/>
      <c r="U53" s="17"/>
      <c r="V53" s="22"/>
      <c r="W53" s="22"/>
      <c r="X53" s="22"/>
      <c r="Y53" s="17"/>
      <c r="Z53" s="17"/>
      <c r="AA53" s="17">
        <f>SUM(D53:Z53)</f>
        <v>499.308</v>
      </c>
      <c r="AB53" s="41">
        <f t="shared" si="4"/>
        <v>-64.29200000000003</v>
      </c>
    </row>
    <row r="54" spans="2:28" ht="15.75">
      <c r="B54" s="44" t="s">
        <v>22</v>
      </c>
      <c r="C54" s="45">
        <f>154.78-2.35</f>
        <v>152.43</v>
      </c>
      <c r="D54" s="17"/>
      <c r="E54" s="17"/>
      <c r="F54" s="17"/>
      <c r="G54" s="17"/>
      <c r="H54" s="17"/>
      <c r="I54" s="17"/>
      <c r="J54" s="22"/>
      <c r="K54" s="17"/>
      <c r="L54" s="17"/>
      <c r="M54" s="17"/>
      <c r="N54" s="17"/>
      <c r="O54" s="17"/>
      <c r="P54" s="50"/>
      <c r="Q54" s="17"/>
      <c r="R54" s="50">
        <v>0.271</v>
      </c>
      <c r="S54" s="17"/>
      <c r="T54" s="17"/>
      <c r="U54" s="17"/>
      <c r="V54" s="22"/>
      <c r="W54" s="22"/>
      <c r="X54" s="22"/>
      <c r="Y54" s="17"/>
      <c r="Z54" s="17"/>
      <c r="AA54" s="17">
        <f>SUM(D54:Z54)</f>
        <v>0.271</v>
      </c>
      <c r="AB54" s="41">
        <f t="shared" si="4"/>
        <v>-152.15900000000002</v>
      </c>
    </row>
    <row r="55" spans="2:29" ht="15.75">
      <c r="B55" s="44" t="s">
        <v>24</v>
      </c>
      <c r="C55" s="45">
        <v>48.65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v>0.5</v>
      </c>
      <c r="Q55" s="17"/>
      <c r="R55" s="17">
        <v>34.081</v>
      </c>
      <c r="S55" s="17"/>
      <c r="T55" s="17"/>
      <c r="U55" s="17"/>
      <c r="V55" s="17"/>
      <c r="W55" s="17"/>
      <c r="X55" s="17"/>
      <c r="Y55" s="17"/>
      <c r="Z55" s="17"/>
      <c r="AA55" s="17">
        <f>SUM(D55:Z55)</f>
        <v>34.581</v>
      </c>
      <c r="AB55" s="41">
        <f t="shared" si="4"/>
        <v>-14.068999999999996</v>
      </c>
      <c r="AC55" s="1"/>
    </row>
    <row r="56" spans="1:40" s="1" customFormat="1" ht="15.75">
      <c r="A56" s="1">
        <v>130000</v>
      </c>
      <c r="B56" s="42" t="s">
        <v>47</v>
      </c>
      <c r="C56" s="43">
        <f>SUM(C57:C61)</f>
        <v>603.1</v>
      </c>
      <c r="D56" s="43">
        <f aca="true" t="shared" si="15" ref="D56:AA56">SUM(D57:D61)</f>
        <v>0</v>
      </c>
      <c r="E56" s="43">
        <f t="shared" si="15"/>
        <v>0</v>
      </c>
      <c r="F56" s="43">
        <f t="shared" si="15"/>
        <v>0</v>
      </c>
      <c r="G56" s="43">
        <f t="shared" si="15"/>
        <v>0</v>
      </c>
      <c r="H56" s="43">
        <f t="shared" si="15"/>
        <v>0</v>
      </c>
      <c r="I56" s="43">
        <f t="shared" si="15"/>
        <v>0</v>
      </c>
      <c r="J56" s="43">
        <f t="shared" si="15"/>
        <v>106.438</v>
      </c>
      <c r="K56" s="43">
        <f t="shared" si="15"/>
        <v>0</v>
      </c>
      <c r="L56" s="43">
        <f t="shared" si="15"/>
        <v>0</v>
      </c>
      <c r="M56" s="43">
        <f t="shared" si="15"/>
        <v>0</v>
      </c>
      <c r="N56" s="43">
        <f t="shared" si="15"/>
        <v>0</v>
      </c>
      <c r="O56" s="43">
        <f t="shared" si="15"/>
        <v>0</v>
      </c>
      <c r="P56" s="43">
        <f t="shared" si="15"/>
        <v>24.584000000000003</v>
      </c>
      <c r="Q56" s="43">
        <f t="shared" si="15"/>
        <v>0</v>
      </c>
      <c r="R56" s="43">
        <f t="shared" si="15"/>
        <v>22.36</v>
      </c>
      <c r="S56" s="43">
        <f t="shared" si="15"/>
        <v>0</v>
      </c>
      <c r="T56" s="43">
        <f>SUM(T57:T61)</f>
        <v>300.21799999999996</v>
      </c>
      <c r="U56" s="43">
        <f>SUM(U57:U61)</f>
        <v>0</v>
      </c>
      <c r="V56" s="43">
        <f t="shared" si="15"/>
        <v>0</v>
      </c>
      <c r="W56" s="43">
        <f t="shared" si="15"/>
        <v>0</v>
      </c>
      <c r="X56" s="43">
        <f t="shared" si="15"/>
        <v>0</v>
      </c>
      <c r="Y56" s="43">
        <f t="shared" si="15"/>
        <v>0</v>
      </c>
      <c r="Z56" s="43">
        <f>SUM(Z57:Z61)</f>
        <v>0</v>
      </c>
      <c r="AA56" s="43">
        <f t="shared" si="15"/>
        <v>453.59999999999997</v>
      </c>
      <c r="AB56" s="41">
        <f t="shared" si="4"/>
        <v>-149.50000000000006</v>
      </c>
      <c r="AC56" s="5"/>
      <c r="AD56" s="3"/>
      <c r="AE56" s="3"/>
      <c r="AF56" s="3"/>
      <c r="AG56" s="4"/>
      <c r="AH56" s="4"/>
      <c r="AI56" s="4"/>
      <c r="AJ56" s="4"/>
      <c r="AK56" s="4"/>
      <c r="AL56" s="4"/>
      <c r="AM56" s="4"/>
      <c r="AN56" s="4"/>
    </row>
    <row r="57" spans="2:28" ht="15.75">
      <c r="B57" s="44" t="s">
        <v>20</v>
      </c>
      <c r="C57" s="45">
        <v>407.2</v>
      </c>
      <c r="D57" s="17"/>
      <c r="E57" s="17"/>
      <c r="F57" s="17"/>
      <c r="G57" s="17"/>
      <c r="H57" s="17"/>
      <c r="I57" s="17"/>
      <c r="J57" s="50">
        <v>95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291.861</v>
      </c>
      <c r="U57" s="17"/>
      <c r="V57" s="22"/>
      <c r="W57" s="22"/>
      <c r="X57" s="17"/>
      <c r="Y57" s="17"/>
      <c r="Z57" s="17"/>
      <c r="AA57" s="17">
        <f>SUM(D57:Z57)</f>
        <v>386.861</v>
      </c>
      <c r="AB57" s="41">
        <f t="shared" si="4"/>
        <v>-20.339</v>
      </c>
    </row>
    <row r="58" spans="2:28" ht="15.75">
      <c r="B58" s="44" t="s">
        <v>28</v>
      </c>
      <c r="C58" s="45">
        <v>0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/>
      <c r="AA58" s="17">
        <f>SUM(D58:Z58)</f>
        <v>0</v>
      </c>
      <c r="AB58" s="41">
        <f t="shared" si="4"/>
        <v>0</v>
      </c>
    </row>
    <row r="59" spans="2:28" ht="15.75">
      <c r="B59" s="44" t="s">
        <v>22</v>
      </c>
      <c r="C59" s="45">
        <v>79.16</v>
      </c>
      <c r="D59" s="17"/>
      <c r="E59" s="17"/>
      <c r="F59" s="17"/>
      <c r="G59" s="17"/>
      <c r="H59" s="17"/>
      <c r="I59" s="17"/>
      <c r="J59" s="22"/>
      <c r="K59" s="17"/>
      <c r="L59" s="17"/>
      <c r="M59" s="17"/>
      <c r="N59" s="17"/>
      <c r="O59" s="17"/>
      <c r="P59" s="50"/>
      <c r="Q59" s="17"/>
      <c r="R59" s="17"/>
      <c r="S59" s="17"/>
      <c r="T59" s="17"/>
      <c r="U59" s="17"/>
      <c r="V59" s="22"/>
      <c r="W59" s="22"/>
      <c r="X59" s="17"/>
      <c r="Y59" s="17"/>
      <c r="Z59" s="17"/>
      <c r="AA59" s="17">
        <f>SUM(D59:Z59)</f>
        <v>0</v>
      </c>
      <c r="AB59" s="41">
        <f t="shared" si="4"/>
        <v>-79.16</v>
      </c>
    </row>
    <row r="60" spans="2:28" ht="15.75">
      <c r="B60" s="44" t="s">
        <v>34</v>
      </c>
      <c r="C60" s="45">
        <v>30.5</v>
      </c>
      <c r="D60" s="17"/>
      <c r="E60" s="17"/>
      <c r="F60" s="17"/>
      <c r="G60" s="17"/>
      <c r="H60" s="17"/>
      <c r="I60" s="17"/>
      <c r="J60" s="22">
        <v>11.438</v>
      </c>
      <c r="K60" s="17"/>
      <c r="L60" s="17"/>
      <c r="M60" s="17"/>
      <c r="N60" s="17"/>
      <c r="O60" s="17"/>
      <c r="P60" s="17">
        <v>15.361</v>
      </c>
      <c r="Q60" s="17"/>
      <c r="R60" s="17"/>
      <c r="S60" s="17"/>
      <c r="T60" s="17"/>
      <c r="U60" s="17"/>
      <c r="V60" s="22"/>
      <c r="W60" s="17"/>
      <c r="X60" s="22"/>
      <c r="Y60" s="22"/>
      <c r="Z60" s="22"/>
      <c r="AA60" s="17">
        <f>SUM(D60:Z60)</f>
        <v>26.799</v>
      </c>
      <c r="AB60" s="41">
        <f t="shared" si="4"/>
        <v>-3.7010000000000005</v>
      </c>
    </row>
    <row r="61" spans="2:28" ht="15.75">
      <c r="B61" s="44" t="s">
        <v>24</v>
      </c>
      <c r="C61" s="45">
        <v>86.24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v>9.223</v>
      </c>
      <c r="Q61" s="17"/>
      <c r="R61" s="17">
        <v>22.36</v>
      </c>
      <c r="S61" s="17"/>
      <c r="T61" s="17">
        <v>8.357</v>
      </c>
      <c r="U61" s="17"/>
      <c r="V61" s="17"/>
      <c r="W61" s="17"/>
      <c r="X61" s="17"/>
      <c r="Y61" s="17"/>
      <c r="Z61" s="17"/>
      <c r="AA61" s="17">
        <f>SUM(D61:Z61)</f>
        <v>39.94</v>
      </c>
      <c r="AB61" s="41">
        <f t="shared" si="4"/>
        <v>-46.3</v>
      </c>
    </row>
    <row r="62" spans="2:28" ht="43.5" hidden="1">
      <c r="B62" s="42" t="s">
        <v>48</v>
      </c>
      <c r="C62" s="43">
        <f>C63</f>
        <v>0</v>
      </c>
      <c r="D62" s="43">
        <f>D63</f>
        <v>0</v>
      </c>
      <c r="E62" s="43">
        <f aca="true" t="shared" si="16" ref="E62:Y62">E63</f>
        <v>0</v>
      </c>
      <c r="F62" s="43">
        <f t="shared" si="16"/>
        <v>0</v>
      </c>
      <c r="G62" s="43">
        <f t="shared" si="16"/>
        <v>0</v>
      </c>
      <c r="H62" s="43">
        <f t="shared" si="16"/>
        <v>0</v>
      </c>
      <c r="I62" s="43">
        <f t="shared" si="16"/>
        <v>0</v>
      </c>
      <c r="J62" s="43">
        <f t="shared" si="16"/>
        <v>0</v>
      </c>
      <c r="K62" s="43">
        <f t="shared" si="16"/>
        <v>0</v>
      </c>
      <c r="L62" s="43">
        <f t="shared" si="16"/>
        <v>0</v>
      </c>
      <c r="M62" s="43">
        <f t="shared" si="16"/>
        <v>0</v>
      </c>
      <c r="N62" s="43">
        <f t="shared" si="16"/>
        <v>0</v>
      </c>
      <c r="O62" s="43">
        <f t="shared" si="16"/>
        <v>0</v>
      </c>
      <c r="P62" s="43">
        <f t="shared" si="16"/>
        <v>0</v>
      </c>
      <c r="Q62" s="43">
        <f t="shared" si="16"/>
        <v>0</v>
      </c>
      <c r="R62" s="43">
        <f t="shared" si="16"/>
        <v>0</v>
      </c>
      <c r="S62" s="43">
        <f t="shared" si="16"/>
        <v>0</v>
      </c>
      <c r="T62" s="43">
        <f t="shared" si="16"/>
        <v>0</v>
      </c>
      <c r="U62" s="43">
        <f t="shared" si="16"/>
        <v>0</v>
      </c>
      <c r="V62" s="43">
        <f t="shared" si="16"/>
        <v>0</v>
      </c>
      <c r="W62" s="43">
        <f t="shared" si="16"/>
        <v>0</v>
      </c>
      <c r="X62" s="43">
        <f t="shared" si="16"/>
        <v>0</v>
      </c>
      <c r="Y62" s="43">
        <f t="shared" si="16"/>
        <v>0</v>
      </c>
      <c r="Z62" s="43">
        <f>Z63</f>
        <v>0</v>
      </c>
      <c r="AA62" s="43">
        <f>AA63</f>
        <v>0</v>
      </c>
      <c r="AB62" s="41">
        <f t="shared" si="4"/>
        <v>0</v>
      </c>
    </row>
    <row r="63" spans="2:28" ht="15.75" hidden="1">
      <c r="B63" s="44" t="s">
        <v>34</v>
      </c>
      <c r="C63" s="4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22">
        <f>SUM(D63:Z63)</f>
        <v>0</v>
      </c>
      <c r="AB63" s="41">
        <f t="shared" si="4"/>
        <v>0</v>
      </c>
    </row>
    <row r="64" spans="2:28" ht="15.75">
      <c r="B64" s="42" t="s">
        <v>49</v>
      </c>
      <c r="C64" s="43">
        <f>C65+C66</f>
        <v>1486.45</v>
      </c>
      <c r="D64" s="43">
        <f aca="true" t="shared" si="17" ref="D64:AA64">D65+D66</f>
        <v>0</v>
      </c>
      <c r="E64" s="43">
        <f t="shared" si="17"/>
        <v>0</v>
      </c>
      <c r="F64" s="43">
        <f t="shared" si="17"/>
        <v>0</v>
      </c>
      <c r="G64" s="43">
        <f t="shared" si="17"/>
        <v>0</v>
      </c>
      <c r="H64" s="43">
        <f t="shared" si="17"/>
        <v>0</v>
      </c>
      <c r="I64" s="43">
        <f t="shared" si="17"/>
        <v>0</v>
      </c>
      <c r="J64" s="43">
        <f t="shared" si="17"/>
        <v>0</v>
      </c>
      <c r="K64" s="43">
        <f t="shared" si="17"/>
        <v>0</v>
      </c>
      <c r="L64" s="43">
        <f t="shared" si="17"/>
        <v>0</v>
      </c>
      <c r="M64" s="43">
        <f t="shared" si="17"/>
        <v>624.064</v>
      </c>
      <c r="N64" s="43">
        <f t="shared" si="17"/>
        <v>0</v>
      </c>
      <c r="O64" s="43">
        <f t="shared" si="17"/>
        <v>0</v>
      </c>
      <c r="P64" s="43">
        <f t="shared" si="17"/>
        <v>0</v>
      </c>
      <c r="Q64" s="43">
        <f t="shared" si="17"/>
        <v>0</v>
      </c>
      <c r="R64" s="43">
        <f t="shared" si="17"/>
        <v>199.973</v>
      </c>
      <c r="S64" s="43">
        <f t="shared" si="17"/>
        <v>0</v>
      </c>
      <c r="T64" s="43">
        <f>T65+T66</f>
        <v>0</v>
      </c>
      <c r="U64" s="43">
        <f t="shared" si="17"/>
        <v>0</v>
      </c>
      <c r="V64" s="43">
        <f t="shared" si="17"/>
        <v>0</v>
      </c>
      <c r="W64" s="43">
        <f t="shared" si="17"/>
        <v>0</v>
      </c>
      <c r="X64" s="43">
        <f t="shared" si="17"/>
        <v>0</v>
      </c>
      <c r="Y64" s="43">
        <f t="shared" si="17"/>
        <v>0</v>
      </c>
      <c r="Z64" s="43">
        <f>Z65+Z66</f>
        <v>0</v>
      </c>
      <c r="AA64" s="43">
        <f t="shared" si="17"/>
        <v>824.037</v>
      </c>
      <c r="AB64" s="41">
        <f t="shared" si="4"/>
        <v>-662.413</v>
      </c>
    </row>
    <row r="65" spans="2:28" ht="15.75">
      <c r="B65" s="56" t="s">
        <v>50</v>
      </c>
      <c r="C65" s="34">
        <v>92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>
        <f>SUM(D65:Z65)</f>
        <v>0</v>
      </c>
      <c r="AB65" s="41">
        <f t="shared" si="4"/>
        <v>-92</v>
      </c>
    </row>
    <row r="66" spans="2:28" ht="15.75">
      <c r="B66" s="56" t="s">
        <v>34</v>
      </c>
      <c r="C66" s="34">
        <v>1394.45</v>
      </c>
      <c r="D66" s="22"/>
      <c r="E66" s="22"/>
      <c r="F66" s="22"/>
      <c r="G66" s="22"/>
      <c r="H66" s="22"/>
      <c r="I66" s="22"/>
      <c r="J66" s="22"/>
      <c r="K66" s="22"/>
      <c r="L66" s="22"/>
      <c r="M66" s="22">
        <v>624.064</v>
      </c>
      <c r="N66" s="22"/>
      <c r="O66" s="22"/>
      <c r="P66" s="22"/>
      <c r="Q66" s="22"/>
      <c r="R66" s="22">
        <v>199.973</v>
      </c>
      <c r="S66" s="22"/>
      <c r="T66" s="22"/>
      <c r="U66" s="22"/>
      <c r="V66" s="22"/>
      <c r="W66" s="22"/>
      <c r="X66" s="22"/>
      <c r="Y66" s="22"/>
      <c r="Z66" s="22"/>
      <c r="AA66" s="22">
        <f>SUM(D66:Z66)</f>
        <v>824.037</v>
      </c>
      <c r="AB66" s="41">
        <f t="shared" si="4"/>
        <v>-570.413</v>
      </c>
    </row>
    <row r="67" spans="2:28" ht="15.75" hidden="1">
      <c r="B67" s="42" t="s">
        <v>51</v>
      </c>
      <c r="C67" s="43">
        <f>C68+C69</f>
        <v>0</v>
      </c>
      <c r="D67" s="43">
        <f aca="true" t="shared" si="18" ref="D67:AA67">D68+D69</f>
        <v>0</v>
      </c>
      <c r="E67" s="43">
        <f t="shared" si="18"/>
        <v>0</v>
      </c>
      <c r="F67" s="43">
        <f t="shared" si="18"/>
        <v>0</v>
      </c>
      <c r="G67" s="43">
        <f t="shared" si="18"/>
        <v>0</v>
      </c>
      <c r="H67" s="43">
        <f t="shared" si="18"/>
        <v>0</v>
      </c>
      <c r="I67" s="43">
        <f t="shared" si="18"/>
        <v>0</v>
      </c>
      <c r="J67" s="43">
        <f t="shared" si="18"/>
        <v>0</v>
      </c>
      <c r="K67" s="43">
        <f t="shared" si="18"/>
        <v>0</v>
      </c>
      <c r="L67" s="43">
        <f t="shared" si="18"/>
        <v>0</v>
      </c>
      <c r="M67" s="43">
        <f t="shared" si="18"/>
        <v>0</v>
      </c>
      <c r="N67" s="43">
        <f t="shared" si="18"/>
        <v>0</v>
      </c>
      <c r="O67" s="43">
        <f t="shared" si="18"/>
        <v>0</v>
      </c>
      <c r="P67" s="43">
        <f t="shared" si="18"/>
        <v>0</v>
      </c>
      <c r="Q67" s="43">
        <f t="shared" si="18"/>
        <v>0</v>
      </c>
      <c r="R67" s="43">
        <f t="shared" si="18"/>
        <v>0</v>
      </c>
      <c r="S67" s="43">
        <f t="shared" si="18"/>
        <v>0</v>
      </c>
      <c r="T67" s="43">
        <f t="shared" si="18"/>
        <v>0</v>
      </c>
      <c r="U67" s="43">
        <f t="shared" si="18"/>
        <v>0</v>
      </c>
      <c r="V67" s="43">
        <f t="shared" si="18"/>
        <v>0</v>
      </c>
      <c r="W67" s="43">
        <f t="shared" si="18"/>
        <v>0</v>
      </c>
      <c r="X67" s="43">
        <f t="shared" si="18"/>
        <v>0</v>
      </c>
      <c r="Y67" s="43">
        <f t="shared" si="18"/>
        <v>0</v>
      </c>
      <c r="Z67" s="43">
        <f t="shared" si="18"/>
        <v>0</v>
      </c>
      <c r="AA67" s="43">
        <f t="shared" si="18"/>
        <v>0</v>
      </c>
      <c r="AB67" s="41">
        <f t="shared" si="4"/>
        <v>0</v>
      </c>
    </row>
    <row r="68" spans="2:28" ht="15.75" hidden="1">
      <c r="B68" s="44" t="s">
        <v>22</v>
      </c>
      <c r="C68" s="3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>
        <f>SUM(D68:Z68)</f>
        <v>0</v>
      </c>
      <c r="AB68" s="41">
        <f t="shared" si="4"/>
        <v>0</v>
      </c>
    </row>
    <row r="69" spans="2:28" ht="15.75" hidden="1">
      <c r="B69" s="44" t="s">
        <v>34</v>
      </c>
      <c r="C69" s="3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>
        <f>SUM(D69:Z69)</f>
        <v>0</v>
      </c>
      <c r="AB69" s="41">
        <f t="shared" si="4"/>
        <v>0</v>
      </c>
    </row>
    <row r="70" spans="2:28" ht="45" customHeight="1" hidden="1">
      <c r="B70" s="57" t="s">
        <v>52</v>
      </c>
      <c r="C70" s="43">
        <f>400-200-200</f>
        <v>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>
        <f>SUM(D70:Z70)</f>
        <v>0</v>
      </c>
      <c r="AB70" s="41">
        <f t="shared" si="4"/>
        <v>0</v>
      </c>
    </row>
    <row r="71" spans="1:29" ht="15.75" hidden="1">
      <c r="A71" s="1">
        <v>170703</v>
      </c>
      <c r="B71" s="42" t="s">
        <v>53</v>
      </c>
      <c r="C71" s="43">
        <f>C72</f>
        <v>0</v>
      </c>
      <c r="D71" s="43">
        <f aca="true" t="shared" si="19" ref="D71:AA71">D72</f>
        <v>0</v>
      </c>
      <c r="E71" s="43">
        <f t="shared" si="19"/>
        <v>0</v>
      </c>
      <c r="F71" s="43">
        <f t="shared" si="19"/>
        <v>0</v>
      </c>
      <c r="G71" s="43">
        <f t="shared" si="19"/>
        <v>0</v>
      </c>
      <c r="H71" s="43">
        <f t="shared" si="19"/>
        <v>0</v>
      </c>
      <c r="I71" s="43">
        <f t="shared" si="19"/>
        <v>0</v>
      </c>
      <c r="J71" s="43">
        <f t="shared" si="19"/>
        <v>0</v>
      </c>
      <c r="K71" s="43">
        <f t="shared" si="19"/>
        <v>0</v>
      </c>
      <c r="L71" s="43">
        <f t="shared" si="19"/>
        <v>0</v>
      </c>
      <c r="M71" s="43">
        <f t="shared" si="19"/>
        <v>0</v>
      </c>
      <c r="N71" s="43">
        <f t="shared" si="19"/>
        <v>0</v>
      </c>
      <c r="O71" s="43">
        <f t="shared" si="19"/>
        <v>0</v>
      </c>
      <c r="P71" s="43">
        <f t="shared" si="19"/>
        <v>0</v>
      </c>
      <c r="Q71" s="43">
        <f t="shared" si="19"/>
        <v>0</v>
      </c>
      <c r="R71" s="43">
        <f t="shared" si="19"/>
        <v>0</v>
      </c>
      <c r="S71" s="43">
        <f t="shared" si="19"/>
        <v>0</v>
      </c>
      <c r="T71" s="43">
        <f t="shared" si="19"/>
        <v>0</v>
      </c>
      <c r="U71" s="43">
        <f t="shared" si="19"/>
        <v>0</v>
      </c>
      <c r="V71" s="43">
        <f t="shared" si="19"/>
        <v>0</v>
      </c>
      <c r="W71" s="43">
        <f t="shared" si="19"/>
        <v>0</v>
      </c>
      <c r="X71" s="43">
        <f t="shared" si="19"/>
        <v>0</v>
      </c>
      <c r="Y71" s="43">
        <f t="shared" si="19"/>
        <v>0</v>
      </c>
      <c r="Z71" s="43">
        <f t="shared" si="19"/>
        <v>0</v>
      </c>
      <c r="AA71" s="43">
        <f t="shared" si="19"/>
        <v>0</v>
      </c>
      <c r="AB71" s="41">
        <f t="shared" si="4"/>
        <v>0</v>
      </c>
      <c r="AC71" s="26"/>
    </row>
    <row r="72" spans="2:40" s="26" customFormat="1" ht="15.75" hidden="1">
      <c r="B72" s="56" t="s">
        <v>50</v>
      </c>
      <c r="C72" s="3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>
        <f aca="true" t="shared" si="20" ref="AA72:AA82">SUM(D72:Z72)</f>
        <v>0</v>
      </c>
      <c r="AB72" s="41">
        <f t="shared" si="4"/>
        <v>0</v>
      </c>
      <c r="AD72" s="52"/>
      <c r="AE72" s="52"/>
      <c r="AF72" s="52"/>
      <c r="AG72" s="33"/>
      <c r="AH72" s="33"/>
      <c r="AI72" s="33"/>
      <c r="AJ72" s="33"/>
      <c r="AK72" s="33"/>
      <c r="AL72" s="33"/>
      <c r="AM72" s="33"/>
      <c r="AN72" s="33"/>
    </row>
    <row r="73" spans="2:40" s="26" customFormat="1" ht="28.5" hidden="1">
      <c r="B73" s="57" t="s">
        <v>54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>
        <f t="shared" si="20"/>
        <v>0</v>
      </c>
      <c r="AB73" s="41">
        <f t="shared" si="4"/>
        <v>0</v>
      </c>
      <c r="AD73" s="52"/>
      <c r="AE73" s="52"/>
      <c r="AF73" s="52"/>
      <c r="AG73" s="33"/>
      <c r="AH73" s="33"/>
      <c r="AI73" s="33"/>
      <c r="AJ73" s="33"/>
      <c r="AK73" s="33"/>
      <c r="AL73" s="33"/>
      <c r="AM73" s="33"/>
      <c r="AN73" s="33"/>
    </row>
    <row r="74" spans="2:40" s="26" customFormat="1" ht="15.75" hidden="1">
      <c r="B74" s="57" t="s">
        <v>55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>
        <f t="shared" si="20"/>
        <v>0</v>
      </c>
      <c r="AB74" s="41">
        <f t="shared" si="4"/>
        <v>0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28.5">
      <c r="B75" s="57" t="s">
        <v>56</v>
      </c>
      <c r="C75" s="43">
        <v>20</v>
      </c>
      <c r="D75" s="43"/>
      <c r="E75" s="43"/>
      <c r="F75" s="43"/>
      <c r="G75" s="43"/>
      <c r="H75" s="43"/>
      <c r="I75" s="43"/>
      <c r="J75" s="43"/>
      <c r="K75" s="43"/>
      <c r="L75" s="43"/>
      <c r="M75" s="43">
        <v>7.915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>
        <f t="shared" si="20"/>
        <v>7.915</v>
      </c>
      <c r="AB75" s="41">
        <f t="shared" si="4"/>
        <v>-12.085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.75">
      <c r="B76" s="57" t="s">
        <v>65</v>
      </c>
      <c r="C76" s="43">
        <v>167.5</v>
      </c>
      <c r="D76" s="43"/>
      <c r="E76" s="43"/>
      <c r="F76" s="43"/>
      <c r="G76" s="43"/>
      <c r="H76" s="43"/>
      <c r="I76" s="43"/>
      <c r="J76" s="43"/>
      <c r="K76" s="43"/>
      <c r="L76" s="43"/>
      <c r="M76" s="43">
        <v>50.9</v>
      </c>
      <c r="N76" s="43"/>
      <c r="O76" s="43"/>
      <c r="P76" s="43"/>
      <c r="Q76" s="43"/>
      <c r="R76" s="43">
        <v>79.865</v>
      </c>
      <c r="S76" s="43"/>
      <c r="T76" s="43"/>
      <c r="U76" s="43"/>
      <c r="V76" s="43"/>
      <c r="W76" s="43"/>
      <c r="X76" s="43"/>
      <c r="Y76" s="43"/>
      <c r="Z76" s="43"/>
      <c r="AA76" s="43">
        <f t="shared" si="20"/>
        <v>130.765</v>
      </c>
      <c r="AB76" s="41">
        <f t="shared" si="4"/>
        <v>-36.735000000000014</v>
      </c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15.75" hidden="1">
      <c r="B77" s="57" t="s">
        <v>57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20"/>
        <v>0</v>
      </c>
      <c r="AB77" s="41">
        <f t="shared" si="4"/>
        <v>0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1:40" s="1" customFormat="1" ht="15.75">
      <c r="A78" s="1">
        <v>250102</v>
      </c>
      <c r="B78" s="42" t="s">
        <v>58</v>
      </c>
      <c r="C78" s="43">
        <v>65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20"/>
        <v>0</v>
      </c>
      <c r="AB78" s="41">
        <f t="shared" si="4"/>
        <v>-65</v>
      </c>
      <c r="AD78" s="3"/>
      <c r="AE78" s="3"/>
      <c r="AF78" s="3"/>
      <c r="AG78" s="4"/>
      <c r="AH78" s="4"/>
      <c r="AI78" s="4"/>
      <c r="AJ78" s="4"/>
      <c r="AK78" s="4"/>
      <c r="AL78" s="4"/>
      <c r="AM78" s="4"/>
      <c r="AN78" s="4"/>
    </row>
    <row r="79" spans="2:40" s="1" customFormat="1" ht="57.75" hidden="1">
      <c r="B79" s="42" t="s">
        <v>59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20"/>
        <v>0</v>
      </c>
      <c r="AB79" s="41">
        <f t="shared" si="4"/>
        <v>0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71.25" customHeight="1" hidden="1">
      <c r="B80" s="42" t="s">
        <v>60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20"/>
        <v>0</v>
      </c>
      <c r="AB80" s="41">
        <f t="shared" si="4"/>
        <v>0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57.75" hidden="1">
      <c r="B81" s="42" t="s">
        <v>61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20"/>
        <v>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43.5">
      <c r="B82" s="42" t="s">
        <v>62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>
        <v>13.36</v>
      </c>
      <c r="P82" s="43"/>
      <c r="Q82" s="43"/>
      <c r="R82" s="43">
        <v>338.17</v>
      </c>
      <c r="S82" s="43"/>
      <c r="T82" s="43"/>
      <c r="U82" s="43"/>
      <c r="V82" s="43"/>
      <c r="W82" s="43"/>
      <c r="X82" s="43"/>
      <c r="Y82" s="43"/>
      <c r="Z82" s="43"/>
      <c r="AA82" s="43">
        <f t="shared" si="20"/>
        <v>351.53000000000003</v>
      </c>
      <c r="AB82" s="41">
        <f t="shared" si="4"/>
        <v>351.53000000000003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15.75">
      <c r="B83" s="58" t="s">
        <v>63</v>
      </c>
      <c r="C83" s="59">
        <f>SUM(C84:C90)</f>
        <v>21393.892</v>
      </c>
      <c r="D83" s="59">
        <f aca="true" t="shared" si="21" ref="D83:AA83">SUM(D84:D90)</f>
        <v>0</v>
      </c>
      <c r="E83" s="59">
        <f t="shared" si="21"/>
        <v>0</v>
      </c>
      <c r="F83" s="59">
        <f t="shared" si="21"/>
        <v>0</v>
      </c>
      <c r="G83" s="59">
        <f t="shared" si="21"/>
        <v>0</v>
      </c>
      <c r="H83" s="59">
        <f t="shared" si="21"/>
        <v>0</v>
      </c>
      <c r="I83" s="59">
        <f t="shared" si="21"/>
        <v>0</v>
      </c>
      <c r="J83" s="59">
        <f t="shared" si="21"/>
        <v>488.693</v>
      </c>
      <c r="K83" s="59">
        <f t="shared" si="21"/>
        <v>3189.7839999999997</v>
      </c>
      <c r="L83" s="59">
        <f t="shared" si="21"/>
        <v>0</v>
      </c>
      <c r="M83" s="59">
        <f t="shared" si="21"/>
        <v>2413.654</v>
      </c>
      <c r="N83" s="59">
        <f t="shared" si="21"/>
        <v>0</v>
      </c>
      <c r="O83" s="59">
        <f t="shared" si="21"/>
        <v>210.13899999999998</v>
      </c>
      <c r="P83" s="59">
        <f t="shared" si="21"/>
        <v>409.13800000000003</v>
      </c>
      <c r="Q83" s="59">
        <f t="shared" si="21"/>
        <v>0</v>
      </c>
      <c r="R83" s="59">
        <f t="shared" si="21"/>
        <v>8242.819000000001</v>
      </c>
      <c r="S83" s="59">
        <f t="shared" si="21"/>
        <v>0</v>
      </c>
      <c r="T83" s="59">
        <f>SUM(T84:T90)</f>
        <v>1050.107</v>
      </c>
      <c r="U83" s="59">
        <f t="shared" si="21"/>
        <v>0</v>
      </c>
      <c r="V83" s="59">
        <f t="shared" si="21"/>
        <v>0</v>
      </c>
      <c r="W83" s="59">
        <f t="shared" si="21"/>
        <v>-0.207</v>
      </c>
      <c r="X83" s="59">
        <f t="shared" si="21"/>
        <v>0</v>
      </c>
      <c r="Y83" s="59">
        <f t="shared" si="21"/>
        <v>0</v>
      </c>
      <c r="Z83" s="59">
        <f t="shared" si="21"/>
        <v>0</v>
      </c>
      <c r="AA83" s="59">
        <f t="shared" si="21"/>
        <v>16004.127</v>
      </c>
      <c r="AB83" s="41">
        <f aca="true" t="shared" si="22" ref="AB83:AB90">AA83-C83</f>
        <v>-5389.764999999999</v>
      </c>
      <c r="AC83" s="5"/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1:40" s="8" customFormat="1" ht="15.75">
      <c r="A84" s="5"/>
      <c r="B84" s="44" t="s">
        <v>20</v>
      </c>
      <c r="C84" s="45">
        <f>C20+C37+C42+C46+C50+C53+C57+C24</f>
        <v>14415.69</v>
      </c>
      <c r="D84" s="45">
        <f aca="true" t="shared" si="23" ref="D84:X84">D20+D37+D42+D46+D50+D53+D57+D24</f>
        <v>0</v>
      </c>
      <c r="E84" s="45">
        <f t="shared" si="23"/>
        <v>0</v>
      </c>
      <c r="F84" s="45">
        <f t="shared" si="23"/>
        <v>0</v>
      </c>
      <c r="G84" s="45">
        <f t="shared" si="23"/>
        <v>0</v>
      </c>
      <c r="H84" s="45">
        <f t="shared" si="23"/>
        <v>0</v>
      </c>
      <c r="I84" s="45">
        <f t="shared" si="23"/>
        <v>0</v>
      </c>
      <c r="J84" s="45">
        <f t="shared" si="23"/>
        <v>477.075</v>
      </c>
      <c r="K84" s="45">
        <f t="shared" si="23"/>
        <v>3189.548</v>
      </c>
      <c r="L84" s="45">
        <f t="shared" si="23"/>
        <v>0</v>
      </c>
      <c r="M84" s="45">
        <f t="shared" si="23"/>
        <v>1649.641</v>
      </c>
      <c r="N84" s="45">
        <f t="shared" si="23"/>
        <v>0</v>
      </c>
      <c r="O84" s="45">
        <f t="shared" si="23"/>
        <v>0</v>
      </c>
      <c r="P84" s="45">
        <f t="shared" si="23"/>
        <v>343.963</v>
      </c>
      <c r="Q84" s="45">
        <f t="shared" si="23"/>
        <v>0</v>
      </c>
      <c r="R84" s="45">
        <f t="shared" si="23"/>
        <v>7165.816000000001</v>
      </c>
      <c r="S84" s="45">
        <f t="shared" si="23"/>
        <v>0</v>
      </c>
      <c r="T84" s="45">
        <f t="shared" si="23"/>
        <v>913.44</v>
      </c>
      <c r="U84" s="45">
        <f t="shared" si="23"/>
        <v>0</v>
      </c>
      <c r="V84" s="45">
        <f t="shared" si="23"/>
        <v>0</v>
      </c>
      <c r="W84" s="45">
        <f t="shared" si="23"/>
        <v>0</v>
      </c>
      <c r="X84" s="45">
        <f t="shared" si="23"/>
        <v>0</v>
      </c>
      <c r="Y84" s="45">
        <f>Y20+Y37+Y42+Y46+Y50+Y53+Y57+Y24</f>
        <v>0</v>
      </c>
      <c r="Z84" s="45">
        <f>Z20+Z37+Z42+Z46+Z50+Z53+Z57+Z24</f>
        <v>0</v>
      </c>
      <c r="AA84" s="45">
        <f>AA20+AA37+AA42+AA46+AA50+AA53+AA57+AA24</f>
        <v>13739.483</v>
      </c>
      <c r="AB84" s="41">
        <f t="shared" si="22"/>
        <v>-676.2070000000003</v>
      </c>
      <c r="AC84" s="5"/>
      <c r="AG84" s="9"/>
      <c r="AH84" s="9"/>
      <c r="AI84" s="9"/>
      <c r="AJ84" s="9"/>
      <c r="AK84" s="9"/>
      <c r="AL84" s="9"/>
      <c r="AM84" s="9"/>
      <c r="AN84" s="9"/>
    </row>
    <row r="85" spans="1:40" s="8" customFormat="1" ht="15.75">
      <c r="A85" s="5"/>
      <c r="B85" s="44" t="s">
        <v>28</v>
      </c>
      <c r="C85" s="45">
        <f>C25+C38+C58</f>
        <v>6.1</v>
      </c>
      <c r="D85" s="45">
        <f aca="true" t="shared" si="24" ref="D85:X85">D25+D38+D58</f>
        <v>0</v>
      </c>
      <c r="E85" s="45">
        <f t="shared" si="24"/>
        <v>0</v>
      </c>
      <c r="F85" s="45">
        <f t="shared" si="24"/>
        <v>0</v>
      </c>
      <c r="G85" s="45">
        <f t="shared" si="24"/>
        <v>0</v>
      </c>
      <c r="H85" s="45">
        <f t="shared" si="24"/>
        <v>0</v>
      </c>
      <c r="I85" s="45">
        <f t="shared" si="24"/>
        <v>0</v>
      </c>
      <c r="J85" s="45">
        <f t="shared" si="24"/>
        <v>0</v>
      </c>
      <c r="K85" s="45">
        <f t="shared" si="24"/>
        <v>0</v>
      </c>
      <c r="L85" s="45">
        <f t="shared" si="24"/>
        <v>0</v>
      </c>
      <c r="M85" s="45">
        <f t="shared" si="24"/>
        <v>0</v>
      </c>
      <c r="N85" s="45">
        <f t="shared" si="24"/>
        <v>0</v>
      </c>
      <c r="O85" s="45">
        <f t="shared" si="24"/>
        <v>0</v>
      </c>
      <c r="P85" s="45">
        <f t="shared" si="24"/>
        <v>0</v>
      </c>
      <c r="Q85" s="45">
        <f t="shared" si="24"/>
        <v>0</v>
      </c>
      <c r="R85" s="45">
        <f t="shared" si="24"/>
        <v>0</v>
      </c>
      <c r="S85" s="45">
        <f t="shared" si="24"/>
        <v>0</v>
      </c>
      <c r="T85" s="45">
        <f t="shared" si="24"/>
        <v>0</v>
      </c>
      <c r="U85" s="45">
        <f t="shared" si="24"/>
        <v>0</v>
      </c>
      <c r="V85" s="45">
        <f t="shared" si="24"/>
        <v>0</v>
      </c>
      <c r="W85" s="45">
        <f t="shared" si="24"/>
        <v>0</v>
      </c>
      <c r="X85" s="45">
        <f t="shared" si="24"/>
        <v>0</v>
      </c>
      <c r="Y85" s="45">
        <f>Y25+Y38+Y58</f>
        <v>0</v>
      </c>
      <c r="Z85" s="45">
        <f>Z25+Z38+Z58</f>
        <v>0</v>
      </c>
      <c r="AA85" s="45">
        <f>AA25+AA38+AA58</f>
        <v>0</v>
      </c>
      <c r="AB85" s="41">
        <f t="shared" si="22"/>
        <v>-6.1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.75">
      <c r="A86" s="5"/>
      <c r="B86" s="44" t="s">
        <v>30</v>
      </c>
      <c r="C86" s="45">
        <f>C26</f>
        <v>658.7</v>
      </c>
      <c r="D86" s="45">
        <f aca="true" t="shared" si="25" ref="D86:X86">D26</f>
        <v>0</v>
      </c>
      <c r="E86" s="45">
        <f t="shared" si="25"/>
        <v>0</v>
      </c>
      <c r="F86" s="45">
        <f t="shared" si="25"/>
        <v>0</v>
      </c>
      <c r="G86" s="45">
        <f t="shared" si="25"/>
        <v>0</v>
      </c>
      <c r="H86" s="45">
        <f t="shared" si="25"/>
        <v>0</v>
      </c>
      <c r="I86" s="45">
        <f t="shared" si="25"/>
        <v>0</v>
      </c>
      <c r="J86" s="45">
        <f t="shared" si="25"/>
        <v>0</v>
      </c>
      <c r="K86" s="45">
        <f t="shared" si="25"/>
        <v>0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38.077</v>
      </c>
      <c r="Q86" s="45">
        <f t="shared" si="25"/>
        <v>0</v>
      </c>
      <c r="R86" s="45">
        <f t="shared" si="25"/>
        <v>288.298</v>
      </c>
      <c r="S86" s="45">
        <f t="shared" si="25"/>
        <v>0</v>
      </c>
      <c r="T86" s="45">
        <f t="shared" si="25"/>
        <v>92.017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 t="shared" si="25"/>
        <v>0</v>
      </c>
      <c r="Y86" s="45">
        <f>Y26</f>
        <v>0</v>
      </c>
      <c r="Z86" s="45">
        <f>Z26</f>
        <v>0</v>
      </c>
      <c r="AA86" s="45">
        <f>AA26</f>
        <v>418.392</v>
      </c>
      <c r="AB86" s="41">
        <f t="shared" si="22"/>
        <v>-240.30800000000005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.75">
      <c r="A87" s="5"/>
      <c r="B87" s="44" t="s">
        <v>22</v>
      </c>
      <c r="C87" s="45">
        <f>C21+C27+C39+C43+C47+C54+C59+C68</f>
        <v>3394.3149999999996</v>
      </c>
      <c r="D87" s="45">
        <f aca="true" t="shared" si="26" ref="D87:X87">D21+D27+D39+D43+D47+D54+D59+D68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</v>
      </c>
      <c r="K87" s="45">
        <f t="shared" si="26"/>
        <v>0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0.169</v>
      </c>
      <c r="P87" s="45">
        <f t="shared" si="26"/>
        <v>0.663</v>
      </c>
      <c r="Q87" s="45">
        <f t="shared" si="26"/>
        <v>0</v>
      </c>
      <c r="R87" s="45">
        <f t="shared" si="26"/>
        <v>22.055000000000003</v>
      </c>
      <c r="S87" s="45">
        <f t="shared" si="26"/>
        <v>0</v>
      </c>
      <c r="T87" s="45">
        <f t="shared" si="26"/>
        <v>2.3770000000000002</v>
      </c>
      <c r="U87" s="45">
        <f t="shared" si="26"/>
        <v>0</v>
      </c>
      <c r="V87" s="45">
        <f t="shared" si="26"/>
        <v>0</v>
      </c>
      <c r="W87" s="45">
        <f t="shared" si="26"/>
        <v>-0.207</v>
      </c>
      <c r="X87" s="45">
        <f t="shared" si="26"/>
        <v>0</v>
      </c>
      <c r="Y87" s="45">
        <f>Y21+Y27+Y39+Y43+Y47+Y54+Y59+Y68</f>
        <v>0</v>
      </c>
      <c r="Z87" s="45">
        <f>Z21+Z27+Z39+Z43+Z47+Z54+Z59+Z68</f>
        <v>0</v>
      </c>
      <c r="AA87" s="45">
        <f>AA21+AA27+AA39+AA43+AA47+AA54+AA59+AA68</f>
        <v>25.057000000000002</v>
      </c>
      <c r="AB87" s="41">
        <f t="shared" si="22"/>
        <v>-3369.258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.75">
      <c r="A88" s="5"/>
      <c r="B88" s="44" t="s">
        <v>46</v>
      </c>
      <c r="C88" s="45">
        <f>C74</f>
        <v>0</v>
      </c>
      <c r="D88" s="45">
        <f aca="true" t="shared" si="27" ref="D88:X88">D74</f>
        <v>0</v>
      </c>
      <c r="E88" s="45">
        <f t="shared" si="27"/>
        <v>0</v>
      </c>
      <c r="F88" s="45">
        <f t="shared" si="27"/>
        <v>0</v>
      </c>
      <c r="G88" s="45">
        <f t="shared" si="27"/>
        <v>0</v>
      </c>
      <c r="H88" s="45">
        <f t="shared" si="27"/>
        <v>0</v>
      </c>
      <c r="I88" s="45">
        <f t="shared" si="27"/>
        <v>0</v>
      </c>
      <c r="J88" s="45">
        <f t="shared" si="27"/>
        <v>0</v>
      </c>
      <c r="K88" s="45">
        <f t="shared" si="27"/>
        <v>0</v>
      </c>
      <c r="L88" s="45">
        <f t="shared" si="27"/>
        <v>0</v>
      </c>
      <c r="M88" s="45">
        <f t="shared" si="27"/>
        <v>0</v>
      </c>
      <c r="N88" s="45">
        <f t="shared" si="27"/>
        <v>0</v>
      </c>
      <c r="O88" s="45">
        <f t="shared" si="27"/>
        <v>0</v>
      </c>
      <c r="P88" s="45">
        <f t="shared" si="27"/>
        <v>0</v>
      </c>
      <c r="Q88" s="45">
        <f t="shared" si="27"/>
        <v>0</v>
      </c>
      <c r="R88" s="45">
        <f t="shared" si="27"/>
        <v>0</v>
      </c>
      <c r="S88" s="45">
        <f t="shared" si="27"/>
        <v>0</v>
      </c>
      <c r="T88" s="45">
        <f t="shared" si="27"/>
        <v>0</v>
      </c>
      <c r="U88" s="45">
        <f t="shared" si="27"/>
        <v>0</v>
      </c>
      <c r="V88" s="45">
        <f t="shared" si="27"/>
        <v>0</v>
      </c>
      <c r="W88" s="45">
        <f t="shared" si="27"/>
        <v>0</v>
      </c>
      <c r="X88" s="45">
        <f t="shared" si="27"/>
        <v>0</v>
      </c>
      <c r="Y88" s="45">
        <f>Y74</f>
        <v>0</v>
      </c>
      <c r="Z88" s="45">
        <f>Z74</f>
        <v>0</v>
      </c>
      <c r="AA88" s="45">
        <f>AA74</f>
        <v>0</v>
      </c>
      <c r="AB88" s="41">
        <f t="shared" si="22"/>
        <v>0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.75">
      <c r="A89" s="5"/>
      <c r="B89" s="44" t="s">
        <v>34</v>
      </c>
      <c r="C89" s="45">
        <f>C30+C51+C60+C66+C31+C69+C79+C80+C81+C63+C76</f>
        <v>1805.15</v>
      </c>
      <c r="D89" s="45">
        <f aca="true" t="shared" si="28" ref="D89:X89">D30+D51+D60+D66+D31+D69+D79+D80+D81+D63+D76</f>
        <v>0</v>
      </c>
      <c r="E89" s="45">
        <f t="shared" si="28"/>
        <v>0</v>
      </c>
      <c r="F89" s="45">
        <f t="shared" si="28"/>
        <v>0</v>
      </c>
      <c r="G89" s="45">
        <f t="shared" si="28"/>
        <v>0</v>
      </c>
      <c r="H89" s="45">
        <f t="shared" si="28"/>
        <v>0</v>
      </c>
      <c r="I89" s="45">
        <f t="shared" si="28"/>
        <v>0</v>
      </c>
      <c r="J89" s="45">
        <f t="shared" si="28"/>
        <v>11.438</v>
      </c>
      <c r="K89" s="45">
        <f t="shared" si="28"/>
        <v>0</v>
      </c>
      <c r="L89" s="45">
        <f t="shared" si="28"/>
        <v>0</v>
      </c>
      <c r="M89" s="45">
        <f t="shared" si="28"/>
        <v>735.871</v>
      </c>
      <c r="N89" s="45">
        <f t="shared" si="28"/>
        <v>0</v>
      </c>
      <c r="O89" s="45">
        <f t="shared" si="28"/>
        <v>0</v>
      </c>
      <c r="P89" s="45">
        <f t="shared" si="28"/>
        <v>15.361</v>
      </c>
      <c r="Q89" s="45">
        <f t="shared" si="28"/>
        <v>0</v>
      </c>
      <c r="R89" s="45">
        <f t="shared" si="28"/>
        <v>291.375</v>
      </c>
      <c r="S89" s="45">
        <f t="shared" si="28"/>
        <v>0</v>
      </c>
      <c r="T89" s="45">
        <f t="shared" si="28"/>
        <v>12.365</v>
      </c>
      <c r="U89" s="45">
        <f t="shared" si="28"/>
        <v>0</v>
      </c>
      <c r="V89" s="45">
        <f t="shared" si="28"/>
        <v>0</v>
      </c>
      <c r="W89" s="45">
        <f t="shared" si="28"/>
        <v>0</v>
      </c>
      <c r="X89" s="45">
        <f t="shared" si="28"/>
        <v>0</v>
      </c>
      <c r="Y89" s="45">
        <f>Y30+Y51+Y60+Y66+Y31+Y69+Y79+Y80+Y81+Y63+Y76</f>
        <v>0</v>
      </c>
      <c r="Z89" s="45">
        <f>Z30+Z51+Z60+Z66+Z31+Z69+Z79+Z80+Z81+Z63+Z76</f>
        <v>0</v>
      </c>
      <c r="AA89" s="45">
        <f>AA30+AA51+AA60+AA66+AA31+AA69+AA79+AA80+AA81+AA63+AA76</f>
        <v>1066.4099999999999</v>
      </c>
      <c r="AB89" s="41">
        <f t="shared" si="22"/>
        <v>-738.7400000000002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.75">
      <c r="A90" s="5"/>
      <c r="B90" s="44" t="s">
        <v>24</v>
      </c>
      <c r="C90" s="45">
        <f>C22+C28+C32+C33+C34+C40+C44+C48+C55+C61+C72+C77+C78+C82+C65+C75+C73+C35+C70</f>
        <v>1113.937</v>
      </c>
      <c r="D90" s="45">
        <f aca="true" t="shared" si="29" ref="D90:X90">D22+D28+D32+D33+D34+D40+D44+D48+D55+D61+D72+D77+D78+D82+D65+D75+D73+D35+D70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0.18</v>
      </c>
      <c r="K90" s="45">
        <f t="shared" si="29"/>
        <v>0.236</v>
      </c>
      <c r="L90" s="45">
        <f t="shared" si="29"/>
        <v>0</v>
      </c>
      <c r="M90" s="45">
        <f t="shared" si="29"/>
        <v>28.142</v>
      </c>
      <c r="N90" s="45">
        <f t="shared" si="29"/>
        <v>0</v>
      </c>
      <c r="O90" s="45">
        <f t="shared" si="29"/>
        <v>209.96999999999997</v>
      </c>
      <c r="P90" s="45">
        <f t="shared" si="29"/>
        <v>11.074000000000002</v>
      </c>
      <c r="Q90" s="45">
        <f t="shared" si="29"/>
        <v>0</v>
      </c>
      <c r="R90" s="45">
        <f t="shared" si="29"/>
        <v>475.27500000000003</v>
      </c>
      <c r="S90" s="45">
        <f t="shared" si="29"/>
        <v>0</v>
      </c>
      <c r="T90" s="45">
        <f t="shared" si="29"/>
        <v>29.907999999999998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 t="shared" si="29"/>
        <v>0</v>
      </c>
      <c r="Y90" s="45">
        <f>Y22+Y28+Y32+Y33+Y34+Y40+Y44+Y48+Y55+Y61+Y72+Y77+Y78+Y82+Y65+Y75+Y73+Y35+Y70</f>
        <v>0</v>
      </c>
      <c r="Z90" s="45">
        <f>Z22+Z28+Z32+Z33+Z34+Z40+Z44+Z48+Z55+Z61+Z72+Z77+Z78+Z82+Z65+Z75+Z73+Z35+Z70</f>
        <v>0</v>
      </c>
      <c r="AA90" s="45">
        <f>AA22+AA28+AA32+AA33+AA34+AA40+AA44+AA48+AA55+AA61+AA72+AA77+AA78+AA82+AA65+AA75+AA73+AA35+AA70</f>
        <v>754.7850000000001</v>
      </c>
      <c r="AB90" s="41">
        <f t="shared" si="22"/>
        <v>-359.1519999999998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.75">
      <c r="A91" s="5"/>
      <c r="B91" s="5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7"/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.75">
      <c r="A92" s="5"/>
      <c r="B92" s="5" t="s">
        <v>68</v>
      </c>
      <c r="C92" s="62">
        <f aca="true" t="shared" si="30" ref="C92:AA92">C18-C83</f>
        <v>0</v>
      </c>
      <c r="D92" s="62">
        <f t="shared" si="30"/>
        <v>0</v>
      </c>
      <c r="E92" s="62">
        <f t="shared" si="30"/>
        <v>0</v>
      </c>
      <c r="F92" s="62">
        <f t="shared" si="30"/>
        <v>0</v>
      </c>
      <c r="G92" s="62">
        <f t="shared" si="30"/>
        <v>0</v>
      </c>
      <c r="H92" s="62">
        <f t="shared" si="30"/>
        <v>0</v>
      </c>
      <c r="I92" s="62">
        <f t="shared" si="30"/>
        <v>0</v>
      </c>
      <c r="J92" s="62">
        <f t="shared" si="30"/>
        <v>0</v>
      </c>
      <c r="K92" s="62">
        <f t="shared" si="30"/>
        <v>0</v>
      </c>
      <c r="L92" s="62">
        <f t="shared" si="30"/>
        <v>0</v>
      </c>
      <c r="M92" s="62">
        <f t="shared" si="30"/>
        <v>0</v>
      </c>
      <c r="N92" s="62">
        <f t="shared" si="30"/>
        <v>0</v>
      </c>
      <c r="O92" s="62">
        <f t="shared" si="30"/>
        <v>0</v>
      </c>
      <c r="P92" s="62">
        <f t="shared" si="30"/>
        <v>0</v>
      </c>
      <c r="Q92" s="62">
        <f t="shared" si="30"/>
        <v>0</v>
      </c>
      <c r="R92" s="62">
        <f t="shared" si="30"/>
        <v>0</v>
      </c>
      <c r="S92" s="62">
        <f t="shared" si="30"/>
        <v>0</v>
      </c>
      <c r="T92" s="62">
        <f t="shared" si="30"/>
        <v>0</v>
      </c>
      <c r="U92" s="62">
        <f t="shared" si="30"/>
        <v>0</v>
      </c>
      <c r="V92" s="62">
        <f t="shared" si="30"/>
        <v>0</v>
      </c>
      <c r="W92" s="62">
        <f t="shared" si="30"/>
        <v>0</v>
      </c>
      <c r="X92" s="62">
        <f t="shared" si="30"/>
        <v>0</v>
      </c>
      <c r="Y92" s="62">
        <f t="shared" si="30"/>
        <v>0</v>
      </c>
      <c r="Z92" s="62">
        <f t="shared" si="30"/>
        <v>0</v>
      </c>
      <c r="AA92" s="62">
        <f t="shared" si="30"/>
        <v>0</v>
      </c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.75">
      <c r="A93" s="5"/>
      <c r="B93" s="5"/>
      <c r="C93" s="6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.7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6" spans="1:40" s="8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7"/>
      <c r="AC96" s="64"/>
      <c r="AG96" s="9"/>
      <c r="AH96" s="9"/>
      <c r="AI96" s="9"/>
      <c r="AJ96" s="9"/>
      <c r="AK96" s="9"/>
      <c r="AL96" s="9"/>
      <c r="AM96" s="9"/>
      <c r="AN96" s="9"/>
    </row>
    <row r="175" ht="15.75">
      <c r="B175" s="7" t="s">
        <v>64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2" max="255" man="1"/>
  </rowBreaks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M177"/>
  <sheetViews>
    <sheetView view="pageBreakPreview" zoomScale="75" zoomScaleNormal="40" zoomScaleSheetLayoutView="75" zoomScalePageLayoutView="0" workbookViewId="0" topLeftCell="B1">
      <pane xSplit="4230" ySplit="2250" topLeftCell="V11" activePane="bottomRight" state="split"/>
      <selection pane="topLeft" activeCell="AB83" sqref="AB83"/>
      <selection pane="topRight" activeCell="AA1" sqref="AA1:AA16384"/>
      <selection pane="bottomLeft" activeCell="B92" sqref="B92"/>
      <selection pane="bottomRight" activeCell="AM8" sqref="AM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5" width="8.7109375" style="5" hidden="1" customWidth="1"/>
    <col min="26" max="26" width="14.57421875" style="5" customWidth="1"/>
    <col min="27" max="27" width="23.57421875" style="7" customWidth="1"/>
    <col min="28" max="28" width="9.421875" style="5" customWidth="1"/>
    <col min="29" max="29" width="9.421875" style="8" customWidth="1"/>
    <col min="30" max="30" width="14.57421875" style="8" customWidth="1"/>
    <col min="31" max="31" width="9.421875" style="8" customWidth="1"/>
    <col min="32" max="39" width="9.421875" style="9" customWidth="1"/>
    <col min="40" max="16384" width="8.57421875" style="5" customWidth="1"/>
  </cols>
  <sheetData>
    <row r="3" spans="2:39" s="1" customFormat="1" ht="18.75">
      <c r="B3" s="75" t="s">
        <v>69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2"/>
      <c r="AC3" s="3"/>
      <c r="AD3" s="3"/>
      <c r="AE3" s="3"/>
      <c r="AF3" s="4"/>
      <c r="AG3" s="4"/>
      <c r="AH3" s="4"/>
      <c r="AI3" s="4"/>
      <c r="AJ3" s="4"/>
      <c r="AK3" s="4"/>
      <c r="AL3" s="4"/>
      <c r="AM3" s="4"/>
    </row>
    <row r="4" spans="2:26" ht="15.75">
      <c r="B4" s="5" t="s">
        <v>0</v>
      </c>
      <c r="Z4" s="6" t="s">
        <v>1</v>
      </c>
    </row>
    <row r="5" spans="2:26" ht="71.25">
      <c r="B5" s="10" t="s">
        <v>2</v>
      </c>
      <c r="C5" s="11" t="s">
        <v>3</v>
      </c>
      <c r="D5" s="12">
        <v>3</v>
      </c>
      <c r="E5" s="10">
        <v>4</v>
      </c>
      <c r="F5" s="10">
        <v>5</v>
      </c>
      <c r="G5" s="10">
        <v>6</v>
      </c>
      <c r="H5" s="10">
        <v>7</v>
      </c>
      <c r="I5" s="13">
        <v>10</v>
      </c>
      <c r="J5" s="10">
        <v>11</v>
      </c>
      <c r="K5" s="10">
        <v>12</v>
      </c>
      <c r="L5" s="10">
        <v>13</v>
      </c>
      <c r="M5" s="10">
        <v>14</v>
      </c>
      <c r="N5" s="10">
        <v>17</v>
      </c>
      <c r="O5" s="10">
        <v>18</v>
      </c>
      <c r="P5" s="10">
        <v>19</v>
      </c>
      <c r="Q5" s="10">
        <v>20</v>
      </c>
      <c r="R5" s="10">
        <v>21</v>
      </c>
      <c r="S5" s="10">
        <v>24</v>
      </c>
      <c r="T5" s="10">
        <v>25</v>
      </c>
      <c r="U5" s="13">
        <v>26</v>
      </c>
      <c r="V5" s="10">
        <v>27</v>
      </c>
      <c r="W5" s="13">
        <v>28</v>
      </c>
      <c r="X5" s="13"/>
      <c r="Y5" s="13"/>
      <c r="Z5" s="12" t="s">
        <v>4</v>
      </c>
    </row>
    <row r="6" spans="2:26" ht="30">
      <c r="B6" s="14" t="s">
        <v>5</v>
      </c>
      <c r="C6" s="15">
        <f>SUM(D6:X6)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2"/>
    </row>
    <row r="7" spans="2:31" ht="15.75">
      <c r="B7" s="20" t="s">
        <v>6</v>
      </c>
      <c r="C7" s="15">
        <f>SUM(D7:X7)</f>
        <v>4026</v>
      </c>
      <c r="D7" s="21">
        <v>2013</v>
      </c>
      <c r="E7" s="17"/>
      <c r="F7" s="17"/>
      <c r="G7" s="17"/>
      <c r="H7" s="17"/>
      <c r="I7" s="17"/>
      <c r="J7" s="22">
        <v>2013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1" t="s">
        <v>7</v>
      </c>
      <c r="AC7" s="9"/>
      <c r="AD7" s="9"/>
      <c r="AE7" s="9"/>
    </row>
    <row r="8" spans="2:31" ht="15.75">
      <c r="B8" s="23" t="s">
        <v>8</v>
      </c>
      <c r="C8" s="24">
        <f>SUM(D8:Y8)</f>
        <v>20287.700000000004</v>
      </c>
      <c r="D8" s="25">
        <f aca="true" t="shared" si="0" ref="D8:X8">SUM(D9:D16)</f>
        <v>299.09999999999997</v>
      </c>
      <c r="E8" s="25">
        <f t="shared" si="0"/>
        <v>210.79999999999998</v>
      </c>
      <c r="F8" s="25">
        <f t="shared" si="0"/>
        <v>853.5999999999999</v>
      </c>
      <c r="G8" s="25">
        <f t="shared" si="0"/>
        <v>838.9999999999999</v>
      </c>
      <c r="H8" s="25">
        <f t="shared" si="0"/>
        <v>2364.7000000000007</v>
      </c>
      <c r="I8" s="25">
        <f t="shared" si="0"/>
        <v>684.9</v>
      </c>
      <c r="J8" s="25">
        <f t="shared" si="0"/>
        <v>386.19999999999993</v>
      </c>
      <c r="K8" s="25">
        <f t="shared" si="0"/>
        <v>731.8999999999999</v>
      </c>
      <c r="L8" s="25">
        <f t="shared" si="0"/>
        <v>776</v>
      </c>
      <c r="M8" s="25">
        <f t="shared" si="0"/>
        <v>944.4000000000001</v>
      </c>
      <c r="N8" s="25">
        <f t="shared" si="0"/>
        <v>730.1999999999999</v>
      </c>
      <c r="O8" s="25">
        <f t="shared" si="0"/>
        <v>1075.8</v>
      </c>
      <c r="P8" s="25">
        <f t="shared" si="0"/>
        <v>900.7</v>
      </c>
      <c r="Q8" s="25">
        <f t="shared" si="0"/>
        <v>1082.8000000000002</v>
      </c>
      <c r="R8" s="25">
        <f t="shared" si="0"/>
        <v>1316.3999999999996</v>
      </c>
      <c r="S8" s="25">
        <f t="shared" si="0"/>
        <v>431.8</v>
      </c>
      <c r="T8" s="25">
        <f t="shared" si="0"/>
        <v>960.9</v>
      </c>
      <c r="U8" s="25">
        <f t="shared" si="0"/>
        <v>2222.2</v>
      </c>
      <c r="V8" s="25">
        <f t="shared" si="0"/>
        <v>2359.4</v>
      </c>
      <c r="W8" s="25">
        <f t="shared" si="0"/>
        <v>1116.9</v>
      </c>
      <c r="X8" s="25">
        <f t="shared" si="0"/>
        <v>0</v>
      </c>
      <c r="Y8" s="25">
        <f>SUM(Y9:Y16)</f>
        <v>0</v>
      </c>
      <c r="Z8" s="25" t="s">
        <v>7</v>
      </c>
      <c r="AC8" s="9"/>
      <c r="AD8" s="9"/>
      <c r="AE8" s="9"/>
    </row>
    <row r="9" spans="2:39" s="26" customFormat="1" ht="15.75">
      <c r="B9" s="27" t="s">
        <v>9</v>
      </c>
      <c r="C9" s="28">
        <f aca="true" t="shared" si="1" ref="C9:C16">SUM(D9:W9)</f>
        <v>10673.799999999997</v>
      </c>
      <c r="D9" s="29">
        <v>81.5</v>
      </c>
      <c r="E9" s="22">
        <v>86.5</v>
      </c>
      <c r="F9" s="22">
        <v>737.9</v>
      </c>
      <c r="G9" s="22">
        <v>726.9</v>
      </c>
      <c r="H9" s="22">
        <v>2090</v>
      </c>
      <c r="I9" s="22">
        <v>310.3</v>
      </c>
      <c r="J9" s="22">
        <v>128.2</v>
      </c>
      <c r="K9" s="22">
        <v>351.4</v>
      </c>
      <c r="L9" s="22">
        <v>523.6</v>
      </c>
      <c r="M9" s="22">
        <v>504.2</v>
      </c>
      <c r="N9" s="22">
        <v>159.7</v>
      </c>
      <c r="O9" s="22">
        <v>177.5</v>
      </c>
      <c r="P9" s="22">
        <v>399</v>
      </c>
      <c r="Q9" s="22">
        <v>898.2</v>
      </c>
      <c r="R9" s="30">
        <v>1038.1</v>
      </c>
      <c r="S9" s="30">
        <v>245.3</v>
      </c>
      <c r="T9" s="22">
        <v>144.8</v>
      </c>
      <c r="U9" s="30">
        <v>594.3</v>
      </c>
      <c r="V9" s="22">
        <v>852.5</v>
      </c>
      <c r="W9" s="22">
        <v>623.9</v>
      </c>
      <c r="X9" s="22"/>
      <c r="Y9" s="22"/>
      <c r="Z9" s="29"/>
      <c r="AA9" s="31"/>
      <c r="AC9" s="32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2:39" s="26" customFormat="1" ht="30" customHeight="1">
      <c r="B10" s="27" t="s">
        <v>10</v>
      </c>
      <c r="C10" s="28">
        <f t="shared" si="1"/>
        <v>1.4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>
        <v>1.4</v>
      </c>
      <c r="V10" s="22"/>
      <c r="W10" s="22"/>
      <c r="X10" s="22"/>
      <c r="Y10" s="22"/>
      <c r="Z10" s="29"/>
      <c r="AA10" s="31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2:39" s="26" customFormat="1" ht="16.5" customHeight="1">
      <c r="B11" s="27" t="s">
        <v>11</v>
      </c>
      <c r="C11" s="28">
        <f t="shared" si="1"/>
        <v>1641.6</v>
      </c>
      <c r="D11" s="29">
        <v>0.3</v>
      </c>
      <c r="E11" s="22">
        <v>0.1</v>
      </c>
      <c r="F11" s="22">
        <v>0.2</v>
      </c>
      <c r="G11" s="22">
        <v>2.8</v>
      </c>
      <c r="H11" s="22">
        <v>0.3</v>
      </c>
      <c r="I11" s="22">
        <v>31</v>
      </c>
      <c r="J11" s="22">
        <v>1.7</v>
      </c>
      <c r="K11" s="22">
        <v>0.9</v>
      </c>
      <c r="L11" s="22">
        <v>6.4</v>
      </c>
      <c r="M11" s="22">
        <v>1.4</v>
      </c>
      <c r="N11" s="22">
        <v>5.3</v>
      </c>
      <c r="O11" s="22">
        <v>5.1</v>
      </c>
      <c r="P11" s="22">
        <v>6.3</v>
      </c>
      <c r="Q11" s="22">
        <v>2.8</v>
      </c>
      <c r="R11" s="30">
        <v>1</v>
      </c>
      <c r="S11" s="30">
        <v>13.4</v>
      </c>
      <c r="T11" s="22">
        <v>149.3</v>
      </c>
      <c r="U11" s="30">
        <v>1208.8</v>
      </c>
      <c r="V11" s="22">
        <v>135.9</v>
      </c>
      <c r="W11" s="22">
        <v>68.6</v>
      </c>
      <c r="X11" s="22"/>
      <c r="Y11" s="22"/>
      <c r="Z11" s="29"/>
      <c r="AA11" s="31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2:39" s="26" customFormat="1" ht="15.75">
      <c r="B12" s="27" t="s">
        <v>12</v>
      </c>
      <c r="C12" s="28">
        <f t="shared" si="1"/>
        <v>238.89999999999998</v>
      </c>
      <c r="D12" s="29">
        <v>13.7</v>
      </c>
      <c r="E12" s="22">
        <v>7.1</v>
      </c>
      <c r="F12" s="22"/>
      <c r="G12" s="22"/>
      <c r="H12" s="22">
        <v>0.4</v>
      </c>
      <c r="I12" s="22">
        <v>26.3</v>
      </c>
      <c r="J12" s="22"/>
      <c r="K12" s="22"/>
      <c r="L12" s="22">
        <v>12.2</v>
      </c>
      <c r="M12" s="22"/>
      <c r="N12" s="22">
        <v>3.6</v>
      </c>
      <c r="O12" s="22">
        <v>7.4</v>
      </c>
      <c r="P12" s="22">
        <v>39.2</v>
      </c>
      <c r="Q12" s="22">
        <v>2.2</v>
      </c>
      <c r="R12" s="30">
        <v>60.3</v>
      </c>
      <c r="S12" s="30">
        <v>5.5</v>
      </c>
      <c r="T12" s="22">
        <v>45.6</v>
      </c>
      <c r="U12" s="30">
        <v>13.2</v>
      </c>
      <c r="V12" s="22">
        <v>1.7</v>
      </c>
      <c r="W12" s="22">
        <v>0.5</v>
      </c>
      <c r="X12" s="22"/>
      <c r="Y12" s="22"/>
      <c r="Z12" s="29"/>
      <c r="AA12" s="31"/>
      <c r="AC12" s="32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2:39" s="26" customFormat="1" ht="15.75">
      <c r="B13" s="27" t="s">
        <v>13</v>
      </c>
      <c r="C13" s="28">
        <f t="shared" si="1"/>
        <v>2974.3</v>
      </c>
      <c r="D13" s="29">
        <v>10.1</v>
      </c>
      <c r="E13" s="22">
        <v>1</v>
      </c>
      <c r="F13" s="22">
        <v>33.4</v>
      </c>
      <c r="G13" s="22">
        <v>12</v>
      </c>
      <c r="H13" s="22">
        <v>47.4</v>
      </c>
      <c r="I13" s="22">
        <v>32.4</v>
      </c>
      <c r="J13" s="22">
        <v>32.2</v>
      </c>
      <c r="K13" s="22">
        <v>11.2</v>
      </c>
      <c r="L13" s="22">
        <v>35</v>
      </c>
      <c r="M13" s="22">
        <v>205.9</v>
      </c>
      <c r="N13" s="22">
        <v>42.3</v>
      </c>
      <c r="O13" s="22">
        <v>90.9</v>
      </c>
      <c r="P13" s="22">
        <v>132.1</v>
      </c>
      <c r="Q13" s="22">
        <v>84.2</v>
      </c>
      <c r="R13" s="30">
        <v>168.2</v>
      </c>
      <c r="S13" s="30">
        <v>102.2</v>
      </c>
      <c r="T13" s="22">
        <v>588.4</v>
      </c>
      <c r="U13" s="22">
        <v>360.5</v>
      </c>
      <c r="V13" s="22">
        <v>726.9</v>
      </c>
      <c r="W13" s="22">
        <v>258</v>
      </c>
      <c r="X13" s="22"/>
      <c r="Y13" s="22"/>
      <c r="Z13" s="29"/>
      <c r="AA13" s="31"/>
      <c r="AC13" s="32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2:39" s="26" customFormat="1" ht="15.75">
      <c r="B14" s="27" t="s">
        <v>14</v>
      </c>
      <c r="C14" s="28">
        <f t="shared" si="1"/>
        <v>4042.6</v>
      </c>
      <c r="D14" s="29">
        <v>125.1</v>
      </c>
      <c r="E14" s="22">
        <v>97.7</v>
      </c>
      <c r="F14" s="22">
        <v>64.3</v>
      </c>
      <c r="G14" s="22">
        <v>81.3</v>
      </c>
      <c r="H14" s="22">
        <v>209.9</v>
      </c>
      <c r="I14" s="22">
        <v>245.3</v>
      </c>
      <c r="J14" s="22">
        <v>196.7</v>
      </c>
      <c r="K14" s="22">
        <v>270.3</v>
      </c>
      <c r="L14" s="22">
        <v>177.6</v>
      </c>
      <c r="M14" s="22">
        <v>219.6</v>
      </c>
      <c r="N14" s="22">
        <v>486.4</v>
      </c>
      <c r="O14" s="22">
        <v>650</v>
      </c>
      <c r="P14" s="22">
        <v>305.1</v>
      </c>
      <c r="Q14" s="22">
        <v>77.4</v>
      </c>
      <c r="R14" s="30">
        <v>36.6</v>
      </c>
      <c r="S14" s="30">
        <v>31.6</v>
      </c>
      <c r="T14" s="22">
        <v>17.9</v>
      </c>
      <c r="U14" s="30">
        <v>17.9</v>
      </c>
      <c r="V14" s="22">
        <v>602.5</v>
      </c>
      <c r="W14" s="22">
        <v>129.4</v>
      </c>
      <c r="X14" s="22"/>
      <c r="Y14" s="22"/>
      <c r="Z14" s="29"/>
      <c r="AA14" s="31"/>
      <c r="AC14" s="32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2:39" s="26" customFormat="1" ht="16.5" customHeight="1">
      <c r="B15" s="27" t="s">
        <v>15</v>
      </c>
      <c r="C15" s="28">
        <f t="shared" si="1"/>
        <v>229.89999999999998</v>
      </c>
      <c r="D15" s="29">
        <v>12.7</v>
      </c>
      <c r="E15" s="22">
        <v>9.1</v>
      </c>
      <c r="F15" s="22">
        <v>14.8</v>
      </c>
      <c r="G15" s="22">
        <v>10.2</v>
      </c>
      <c r="H15" s="22">
        <v>13.4</v>
      </c>
      <c r="I15" s="22">
        <v>11.1</v>
      </c>
      <c r="J15" s="22">
        <v>10.2</v>
      </c>
      <c r="K15" s="22">
        <v>10.8</v>
      </c>
      <c r="L15" s="22">
        <v>10.9</v>
      </c>
      <c r="M15" s="22">
        <v>7.2</v>
      </c>
      <c r="N15" s="22">
        <v>11.1</v>
      </c>
      <c r="O15" s="22">
        <v>11.1</v>
      </c>
      <c r="P15" s="22">
        <v>12.2</v>
      </c>
      <c r="Q15" s="22">
        <v>12.4</v>
      </c>
      <c r="R15" s="30">
        <v>6.6</v>
      </c>
      <c r="S15" s="30">
        <v>19.7</v>
      </c>
      <c r="T15" s="22">
        <v>4.5</v>
      </c>
      <c r="U15" s="30">
        <v>12.5</v>
      </c>
      <c r="V15" s="22">
        <v>8.1</v>
      </c>
      <c r="W15" s="22">
        <v>21.3</v>
      </c>
      <c r="X15" s="22"/>
      <c r="Y15" s="22"/>
      <c r="Z15" s="29"/>
      <c r="AA15" s="31"/>
      <c r="AC15" s="32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2:39" s="26" customFormat="1" ht="18" customHeight="1">
      <c r="B16" s="27" t="s">
        <v>16</v>
      </c>
      <c r="C16" s="28">
        <f t="shared" si="1"/>
        <v>485.2000000000001</v>
      </c>
      <c r="D16" s="29">
        <v>55.7</v>
      </c>
      <c r="E16" s="22">
        <v>9.3</v>
      </c>
      <c r="F16" s="22">
        <v>3</v>
      </c>
      <c r="G16" s="22">
        <v>5.8</v>
      </c>
      <c r="H16" s="22">
        <v>3.3</v>
      </c>
      <c r="I16" s="22">
        <v>28.5</v>
      </c>
      <c r="J16" s="22">
        <v>17.2</v>
      </c>
      <c r="K16" s="22">
        <v>87.3</v>
      </c>
      <c r="L16" s="22">
        <v>10.3</v>
      </c>
      <c r="M16" s="22">
        <v>6.1</v>
      </c>
      <c r="N16" s="22">
        <v>21.8</v>
      </c>
      <c r="O16" s="22">
        <v>133.8</v>
      </c>
      <c r="P16" s="22">
        <v>6.8</v>
      </c>
      <c r="Q16" s="22">
        <v>5.6</v>
      </c>
      <c r="R16" s="30">
        <v>5.6</v>
      </c>
      <c r="S16" s="30">
        <v>14.1</v>
      </c>
      <c r="T16" s="22">
        <v>10.4</v>
      </c>
      <c r="U16" s="30">
        <v>13.6</v>
      </c>
      <c r="V16" s="22">
        <v>31.8</v>
      </c>
      <c r="W16" s="22">
        <v>15.2</v>
      </c>
      <c r="X16" s="22"/>
      <c r="Y16" s="22"/>
      <c r="Z16" s="29"/>
      <c r="AA16" s="35"/>
      <c r="AC16" s="32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s="1" customFormat="1" ht="13.5" customHeight="1">
      <c r="B17" s="36" t="s">
        <v>17</v>
      </c>
      <c r="C17" s="37">
        <f>SUM(D17:X17)</f>
        <v>24313.700000000004</v>
      </c>
      <c r="D17" s="38">
        <f>SUM(D6:D8)</f>
        <v>2312.1</v>
      </c>
      <c r="E17" s="38">
        <f aca="true" t="shared" si="2" ref="E17:X17">SUM(E6:E8)</f>
        <v>210.79999999999998</v>
      </c>
      <c r="F17" s="38">
        <f t="shared" si="2"/>
        <v>853.5999999999999</v>
      </c>
      <c r="G17" s="38">
        <f t="shared" si="2"/>
        <v>838.9999999999999</v>
      </c>
      <c r="H17" s="38">
        <f t="shared" si="2"/>
        <v>2364.7000000000007</v>
      </c>
      <c r="I17" s="38">
        <f t="shared" si="2"/>
        <v>684.9</v>
      </c>
      <c r="J17" s="38">
        <f t="shared" si="2"/>
        <v>2399.2</v>
      </c>
      <c r="K17" s="38">
        <f t="shared" si="2"/>
        <v>731.8999999999999</v>
      </c>
      <c r="L17" s="38">
        <f t="shared" si="2"/>
        <v>776</v>
      </c>
      <c r="M17" s="38">
        <f>SUM(M6:M8)</f>
        <v>944.4000000000001</v>
      </c>
      <c r="N17" s="38">
        <f t="shared" si="2"/>
        <v>730.1999999999999</v>
      </c>
      <c r="O17" s="38">
        <f t="shared" si="2"/>
        <v>1075.8</v>
      </c>
      <c r="P17" s="38">
        <f t="shared" si="2"/>
        <v>900.7</v>
      </c>
      <c r="Q17" s="38">
        <f t="shared" si="2"/>
        <v>1082.8000000000002</v>
      </c>
      <c r="R17" s="38">
        <f t="shared" si="2"/>
        <v>1316.3999999999996</v>
      </c>
      <c r="S17" s="38">
        <f>SUM(S6:S8)</f>
        <v>431.8</v>
      </c>
      <c r="T17" s="38">
        <f>SUM(T6:T8)</f>
        <v>960.9</v>
      </c>
      <c r="U17" s="38">
        <f t="shared" si="2"/>
        <v>2222.2</v>
      </c>
      <c r="V17" s="38">
        <f t="shared" si="2"/>
        <v>2359.4</v>
      </c>
      <c r="W17" s="38">
        <f t="shared" si="2"/>
        <v>1116.9</v>
      </c>
      <c r="X17" s="38">
        <f t="shared" si="2"/>
        <v>0</v>
      </c>
      <c r="Y17" s="38">
        <f>SUM(Y6:Y8)</f>
        <v>0</v>
      </c>
      <c r="Z17" s="38" t="s">
        <v>7</v>
      </c>
      <c r="AA17" s="2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s="1" customFormat="1" ht="15.75">
      <c r="B18" s="39" t="s">
        <v>18</v>
      </c>
      <c r="C18" s="40">
        <f>C19+C23+C29+C32+C33+C35+C36+C41+C45+C49+C52+C56+C66+C73+C79+C80+C84+C31+C69+C77+C75+C76+C81+C82+C83+C72+C34+C62+C78+C64</f>
        <v>29415.714000000007</v>
      </c>
      <c r="D18" s="40">
        <f aca="true" t="shared" si="3" ref="D18:Z18">D19+D23+D29+D32+D33+D35+D36+D41+D45+D49+D52+D56+D66+D73+D79+D80+D84+D31+D69+D77+D75+D76+D81+D82+D83+D72+D34+D62+D78+D64</f>
        <v>0</v>
      </c>
      <c r="E18" s="40">
        <f t="shared" si="3"/>
        <v>390.49199999999996</v>
      </c>
      <c r="F18" s="40">
        <f t="shared" si="3"/>
        <v>1100.497</v>
      </c>
      <c r="G18" s="40">
        <f t="shared" si="3"/>
        <v>0</v>
      </c>
      <c r="H18" s="40">
        <f t="shared" si="3"/>
        <v>330.90000000000003</v>
      </c>
      <c r="I18" s="40">
        <f t="shared" si="3"/>
        <v>0</v>
      </c>
      <c r="J18" s="40">
        <f t="shared" si="3"/>
        <v>4139.132</v>
      </c>
      <c r="K18" s="40">
        <f t="shared" si="3"/>
        <v>2997.101</v>
      </c>
      <c r="L18" s="40">
        <f t="shared" si="3"/>
        <v>0</v>
      </c>
      <c r="M18" s="40">
        <f t="shared" si="3"/>
        <v>590.466</v>
      </c>
      <c r="N18" s="40">
        <f t="shared" si="3"/>
        <v>0</v>
      </c>
      <c r="O18" s="40">
        <f t="shared" si="3"/>
        <v>1052.5140000000001</v>
      </c>
      <c r="P18" s="40">
        <f t="shared" si="3"/>
        <v>1031.005</v>
      </c>
      <c r="Q18" s="40">
        <f t="shared" si="3"/>
        <v>0</v>
      </c>
      <c r="R18" s="40">
        <f t="shared" si="3"/>
        <v>2111.031</v>
      </c>
      <c r="S18" s="40">
        <f t="shared" si="3"/>
        <v>0</v>
      </c>
      <c r="T18" s="40">
        <f t="shared" si="3"/>
        <v>4983.3</v>
      </c>
      <c r="U18" s="40">
        <f t="shared" si="3"/>
        <v>900</v>
      </c>
      <c r="V18" s="40">
        <f t="shared" si="3"/>
        <v>-9.12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19617.318</v>
      </c>
      <c r="AA18" s="41">
        <f aca="true" t="shared" si="4" ref="AA18:AA49">Z18-C18</f>
        <v>-9798.396000000008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1" customFormat="1" ht="15.75">
      <c r="A19" s="1">
        <v>10116</v>
      </c>
      <c r="B19" s="42" t="s">
        <v>19</v>
      </c>
      <c r="C19" s="43">
        <f aca="true" t="shared" si="5" ref="C19:Z19">SUM(C20:C22)</f>
        <v>3977.7589999999996</v>
      </c>
      <c r="D19" s="43">
        <f t="shared" si="5"/>
        <v>0</v>
      </c>
      <c r="E19" s="43">
        <f t="shared" si="5"/>
        <v>37.6</v>
      </c>
      <c r="F19" s="43">
        <f t="shared" si="5"/>
        <v>5.925</v>
      </c>
      <c r="G19" s="43">
        <f t="shared" si="5"/>
        <v>0</v>
      </c>
      <c r="H19" s="43">
        <f t="shared" si="5"/>
        <v>46.150000000000006</v>
      </c>
      <c r="I19" s="43">
        <f t="shared" si="5"/>
        <v>0</v>
      </c>
      <c r="J19" s="43">
        <f t="shared" si="5"/>
        <v>368.924</v>
      </c>
      <c r="K19" s="43">
        <f t="shared" si="5"/>
        <v>918.145</v>
      </c>
      <c r="L19" s="43">
        <f t="shared" si="5"/>
        <v>0</v>
      </c>
      <c r="M19" s="43">
        <f t="shared" si="5"/>
        <v>39.061</v>
      </c>
      <c r="N19" s="43">
        <f t="shared" si="5"/>
        <v>0</v>
      </c>
      <c r="O19" s="43">
        <f t="shared" si="5"/>
        <v>70.118</v>
      </c>
      <c r="P19" s="43">
        <f t="shared" si="5"/>
        <v>1.25</v>
      </c>
      <c r="Q19" s="43">
        <f t="shared" si="5"/>
        <v>0</v>
      </c>
      <c r="R19" s="43">
        <f t="shared" si="5"/>
        <v>81.672</v>
      </c>
      <c r="S19" s="43">
        <f t="shared" si="5"/>
        <v>0</v>
      </c>
      <c r="T19" s="43">
        <f>SUM(T20:T22)</f>
        <v>1573.2</v>
      </c>
      <c r="U19" s="43">
        <f t="shared" si="5"/>
        <v>0</v>
      </c>
      <c r="V19" s="43">
        <f t="shared" si="5"/>
        <v>-0.491</v>
      </c>
      <c r="W19" s="43">
        <f t="shared" si="5"/>
        <v>0</v>
      </c>
      <c r="X19" s="43">
        <f t="shared" si="5"/>
        <v>0</v>
      </c>
      <c r="Y19" s="43">
        <f>SUM(Y20:Y22)</f>
        <v>0</v>
      </c>
      <c r="Z19" s="43">
        <f t="shared" si="5"/>
        <v>3141.554</v>
      </c>
      <c r="AA19" s="41">
        <f t="shared" si="4"/>
        <v>-836.2049999999995</v>
      </c>
      <c r="AC19" s="8"/>
      <c r="AD19" s="3"/>
      <c r="AE19" s="3"/>
      <c r="AF19" s="4"/>
      <c r="AG19" s="4"/>
      <c r="AH19" s="4"/>
      <c r="AI19" s="4"/>
      <c r="AJ19" s="4"/>
      <c r="AK19" s="4"/>
      <c r="AL19" s="4"/>
      <c r="AM19" s="4"/>
    </row>
    <row r="20" spans="2:32" ht="15.75">
      <c r="B20" s="44" t="s">
        <v>20</v>
      </c>
      <c r="C20" s="45">
        <f>3099.785+20+5.08</f>
        <v>3124.865</v>
      </c>
      <c r="D20" s="17"/>
      <c r="E20" s="17">
        <v>22.178</v>
      </c>
      <c r="F20" s="17"/>
      <c r="G20" s="17"/>
      <c r="H20" s="17">
        <v>29.158</v>
      </c>
      <c r="I20" s="22"/>
      <c r="J20" s="22">
        <v>286.856</v>
      </c>
      <c r="K20" s="17">
        <v>918.025</v>
      </c>
      <c r="L20" s="17"/>
      <c r="M20" s="17"/>
      <c r="N20" s="17"/>
      <c r="O20" s="17"/>
      <c r="P20" s="17"/>
      <c r="Q20" s="17"/>
      <c r="R20" s="17">
        <v>52.955</v>
      </c>
      <c r="S20" s="17"/>
      <c r="T20" s="17">
        <v>1541.5</v>
      </c>
      <c r="U20" s="17"/>
      <c r="V20" s="22"/>
      <c r="W20" s="22"/>
      <c r="X20" s="17"/>
      <c r="Y20" s="17"/>
      <c r="Z20" s="17">
        <f>SUM(D20:Y20)</f>
        <v>2850.672</v>
      </c>
      <c r="AA20" s="41">
        <f t="shared" si="4"/>
        <v>-274.19299999999976</v>
      </c>
      <c r="AB20" s="7"/>
      <c r="AC20" s="66" t="s">
        <v>21</v>
      </c>
      <c r="AD20" s="67">
        <f>Z19</f>
        <v>3141.554</v>
      </c>
      <c r="AF20" s="8"/>
    </row>
    <row r="21" spans="2:32" ht="15.75">
      <c r="B21" s="44" t="s">
        <v>22</v>
      </c>
      <c r="C21" s="45">
        <f>407.62-20</f>
        <v>387.62</v>
      </c>
      <c r="D21" s="17"/>
      <c r="E21" s="17"/>
      <c r="F21" s="17">
        <v>0.052</v>
      </c>
      <c r="G21" s="17"/>
      <c r="H21" s="17">
        <v>5.57</v>
      </c>
      <c r="I21" s="22"/>
      <c r="J21" s="22"/>
      <c r="K21" s="17"/>
      <c r="L21" s="17"/>
      <c r="M21" s="17">
        <v>16.851</v>
      </c>
      <c r="N21" s="17"/>
      <c r="O21" s="17">
        <v>44.311</v>
      </c>
      <c r="P21" s="17"/>
      <c r="Q21" s="17"/>
      <c r="R21" s="17">
        <v>10.649</v>
      </c>
      <c r="S21" s="17"/>
      <c r="T21" s="17">
        <v>0.9</v>
      </c>
      <c r="U21" s="17"/>
      <c r="V21" s="22">
        <v>-0.491</v>
      </c>
      <c r="W21" s="22"/>
      <c r="X21" s="17"/>
      <c r="Y21" s="17"/>
      <c r="Z21" s="17">
        <f>SUM(D21:Y21)</f>
        <v>77.842</v>
      </c>
      <c r="AA21" s="41">
        <f t="shared" si="4"/>
        <v>-309.778</v>
      </c>
      <c r="AB21" s="7"/>
      <c r="AC21" s="66" t="s">
        <v>23</v>
      </c>
      <c r="AD21" s="67">
        <f>Z23</f>
        <v>9981.222000000002</v>
      </c>
      <c r="AF21" s="8"/>
    </row>
    <row r="22" spans="2:32" ht="15.75">
      <c r="B22" s="44" t="s">
        <v>24</v>
      </c>
      <c r="C22" s="45">
        <f>400.274+65</f>
        <v>465.274</v>
      </c>
      <c r="D22" s="17"/>
      <c r="E22" s="17">
        <v>15.422</v>
      </c>
      <c r="F22" s="17">
        <v>5.873</v>
      </c>
      <c r="G22" s="17"/>
      <c r="H22" s="17">
        <v>11.422</v>
      </c>
      <c r="I22" s="17"/>
      <c r="J22" s="17">
        <v>82.068</v>
      </c>
      <c r="K22" s="17">
        <v>0.12</v>
      </c>
      <c r="L22" s="17"/>
      <c r="M22" s="17">
        <v>22.21</v>
      </c>
      <c r="N22" s="17"/>
      <c r="O22" s="17">
        <v>25.807</v>
      </c>
      <c r="P22" s="17">
        <v>1.25</v>
      </c>
      <c r="Q22" s="17"/>
      <c r="R22" s="17">
        <v>18.068</v>
      </c>
      <c r="S22" s="17"/>
      <c r="T22" s="17">
        <v>30.8</v>
      </c>
      <c r="U22" s="17"/>
      <c r="V22" s="17"/>
      <c r="W22" s="17"/>
      <c r="X22" s="17"/>
      <c r="Y22" s="17"/>
      <c r="Z22" s="17">
        <f>SUM(D22:Y22)</f>
        <v>213.04000000000002</v>
      </c>
      <c r="AA22" s="41">
        <f t="shared" si="4"/>
        <v>-252.23399999999998</v>
      </c>
      <c r="AB22" s="7"/>
      <c r="AC22" s="66" t="s">
        <v>25</v>
      </c>
      <c r="AD22" s="67">
        <f>$Z$29+$Z$31</f>
        <v>141.032</v>
      </c>
      <c r="AF22" s="8"/>
    </row>
    <row r="23" spans="1:39" s="1" customFormat="1" ht="15.75">
      <c r="A23" s="1">
        <v>7000</v>
      </c>
      <c r="B23" s="42" t="s">
        <v>67</v>
      </c>
      <c r="C23" s="43">
        <f aca="true" t="shared" si="6" ref="C23:Z23">SUM(C24:C28)</f>
        <v>17378.167</v>
      </c>
      <c r="D23" s="43">
        <f t="shared" si="6"/>
        <v>0</v>
      </c>
      <c r="E23" s="43">
        <f>SUM(E24:E28)</f>
        <v>4.276</v>
      </c>
      <c r="F23" s="43">
        <f t="shared" si="6"/>
        <v>293.654</v>
      </c>
      <c r="G23" s="43">
        <f t="shared" si="6"/>
        <v>0</v>
      </c>
      <c r="H23" s="43">
        <f t="shared" si="6"/>
        <v>173.536</v>
      </c>
      <c r="I23" s="43">
        <f t="shared" si="6"/>
        <v>0</v>
      </c>
      <c r="J23" s="43">
        <f t="shared" si="6"/>
        <v>2495.5370000000003</v>
      </c>
      <c r="K23" s="43">
        <f t="shared" si="6"/>
        <v>1712.404</v>
      </c>
      <c r="L23" s="43">
        <f t="shared" si="6"/>
        <v>0</v>
      </c>
      <c r="M23" s="43">
        <f t="shared" si="6"/>
        <v>236.01999999999998</v>
      </c>
      <c r="N23" s="43">
        <f t="shared" si="6"/>
        <v>0</v>
      </c>
      <c r="O23" s="43">
        <f t="shared" si="6"/>
        <v>659.216</v>
      </c>
      <c r="P23" s="43">
        <f t="shared" si="6"/>
        <v>412.15500000000003</v>
      </c>
      <c r="Q23" s="43">
        <f>SUM(Q24:Q28)</f>
        <v>0</v>
      </c>
      <c r="R23" s="43">
        <f t="shared" si="6"/>
        <v>1821.653</v>
      </c>
      <c r="S23" s="43">
        <f t="shared" si="6"/>
        <v>0</v>
      </c>
      <c r="T23" s="43">
        <f>SUM(T24:T28)</f>
        <v>2181.3999999999996</v>
      </c>
      <c r="U23" s="43">
        <f>SUM(U24:U28)</f>
        <v>0</v>
      </c>
      <c r="V23" s="43">
        <f t="shared" si="6"/>
        <v>-8.629</v>
      </c>
      <c r="W23" s="43">
        <f t="shared" si="6"/>
        <v>0</v>
      </c>
      <c r="X23" s="43">
        <f t="shared" si="6"/>
        <v>0</v>
      </c>
      <c r="Y23" s="43">
        <f>SUM(Y24:Y28)</f>
        <v>0</v>
      </c>
      <c r="Z23" s="43">
        <f t="shared" si="6"/>
        <v>9981.222000000002</v>
      </c>
      <c r="AA23" s="41">
        <f t="shared" si="4"/>
        <v>-7396.945</v>
      </c>
      <c r="AB23" s="2"/>
      <c r="AC23" s="66" t="s">
        <v>26</v>
      </c>
      <c r="AD23" s="67">
        <f>$Z$32+$Z$33+$Z$36+$Z$41+$Z$45+$Z$35+$Z$34</f>
        <v>1321.561</v>
      </c>
      <c r="AE23" s="3"/>
      <c r="AF23" s="3"/>
      <c r="AG23" s="4"/>
      <c r="AH23" s="4"/>
      <c r="AI23" s="4"/>
      <c r="AJ23" s="4"/>
      <c r="AK23" s="4"/>
      <c r="AL23" s="4"/>
      <c r="AM23" s="4"/>
    </row>
    <row r="24" spans="2:32" ht="15.75">
      <c r="B24" s="44" t="s">
        <v>20</v>
      </c>
      <c r="C24" s="45">
        <f>9909.981+210.448</f>
        <v>10120.429</v>
      </c>
      <c r="D24" s="17"/>
      <c r="E24" s="17">
        <v>4.276</v>
      </c>
      <c r="F24" s="17">
        <v>15.338</v>
      </c>
      <c r="G24" s="17"/>
      <c r="H24" s="17">
        <v>94.628</v>
      </c>
      <c r="I24" s="17"/>
      <c r="J24" s="22">
        <f>1566.834+8.684+16.21+704.672</f>
        <v>2296.4</v>
      </c>
      <c r="K24" s="17">
        <f>440.375+1.674+1089.233</f>
        <v>1531.282</v>
      </c>
      <c r="L24" s="17"/>
      <c r="M24" s="17"/>
      <c r="N24" s="17"/>
      <c r="O24" s="17"/>
      <c r="P24" s="17">
        <v>0.837</v>
      </c>
      <c r="Q24" s="17"/>
      <c r="R24" s="17">
        <f>1118.193+1.151+13.081+582.352</f>
        <v>1714.777</v>
      </c>
      <c r="S24" s="17"/>
      <c r="T24" s="17">
        <v>1787.6</v>
      </c>
      <c r="U24" s="17"/>
      <c r="V24" s="22"/>
      <c r="W24" s="22"/>
      <c r="X24" s="17"/>
      <c r="Y24" s="17"/>
      <c r="Z24" s="17">
        <f>SUM(D24:Y24)</f>
        <v>7445.138000000001</v>
      </c>
      <c r="AA24" s="41">
        <f t="shared" si="4"/>
        <v>-2675.2909999999993</v>
      </c>
      <c r="AB24" s="7"/>
      <c r="AC24" s="66" t="s">
        <v>27</v>
      </c>
      <c r="AD24" s="67">
        <f>$Z$66+$Z$69+$Z$76+$Z$62+$Z$64</f>
        <v>2570.924</v>
      </c>
      <c r="AF24" s="8"/>
    </row>
    <row r="25" spans="2:32" ht="15.75">
      <c r="B25" s="44" t="s">
        <v>28</v>
      </c>
      <c r="C25" s="45">
        <v>12.8</v>
      </c>
      <c r="D25" s="17"/>
      <c r="E25" s="17"/>
      <c r="F25" s="17"/>
      <c r="G25" s="17"/>
      <c r="H25" s="17"/>
      <c r="I25" s="17"/>
      <c r="J25" s="22">
        <v>0.431</v>
      </c>
      <c r="K25" s="17"/>
      <c r="L25" s="17"/>
      <c r="M25" s="17"/>
      <c r="N25" s="17"/>
      <c r="O25" s="17"/>
      <c r="P25" s="17"/>
      <c r="Q25" s="17"/>
      <c r="R25" s="17"/>
      <c r="S25" s="17"/>
      <c r="T25" s="17">
        <v>1.7</v>
      </c>
      <c r="U25" s="17"/>
      <c r="V25" s="22"/>
      <c r="W25" s="22"/>
      <c r="X25" s="17"/>
      <c r="Y25" s="17"/>
      <c r="Z25" s="17">
        <f>SUM(D25:Y25)</f>
        <v>2.131</v>
      </c>
      <c r="AA25" s="41">
        <f t="shared" si="4"/>
        <v>-10.669</v>
      </c>
      <c r="AB25" s="7"/>
      <c r="AC25" s="66" t="s">
        <v>29</v>
      </c>
      <c r="AD25" s="67">
        <f>$Z$52</f>
        <v>602.1110000000001</v>
      </c>
      <c r="AF25" s="8"/>
    </row>
    <row r="26" spans="2:32" ht="15.75">
      <c r="B26" s="44" t="s">
        <v>30</v>
      </c>
      <c r="C26" s="45">
        <f>877.904-29.17</f>
        <v>848.734</v>
      </c>
      <c r="D26" s="17"/>
      <c r="E26" s="17"/>
      <c r="F26" s="17">
        <v>39.338</v>
      </c>
      <c r="G26" s="17"/>
      <c r="H26" s="17">
        <v>37.167</v>
      </c>
      <c r="I26" s="17"/>
      <c r="J26" s="22">
        <v>31.654</v>
      </c>
      <c r="K26" s="17">
        <v>60.569</v>
      </c>
      <c r="L26" s="17"/>
      <c r="M26" s="17">
        <v>10.395</v>
      </c>
      <c r="N26" s="17"/>
      <c r="O26" s="17">
        <v>21.548</v>
      </c>
      <c r="P26" s="17">
        <v>17.329</v>
      </c>
      <c r="Q26" s="17"/>
      <c r="R26" s="17">
        <v>46.935</v>
      </c>
      <c r="S26" s="17"/>
      <c r="T26" s="17">
        <v>65.1</v>
      </c>
      <c r="U26" s="17"/>
      <c r="V26" s="22">
        <v>-6.374</v>
      </c>
      <c r="W26" s="22"/>
      <c r="X26" s="17"/>
      <c r="Y26" s="17"/>
      <c r="Z26" s="17">
        <f>SUM(D26:Y26)</f>
        <v>323.66100000000006</v>
      </c>
      <c r="AA26" s="41">
        <f t="shared" si="4"/>
        <v>-525.073</v>
      </c>
      <c r="AB26" s="7"/>
      <c r="AC26" s="66" t="s">
        <v>31</v>
      </c>
      <c r="AD26" s="67">
        <f>$Z$56</f>
        <v>501.191</v>
      </c>
      <c r="AF26" s="8"/>
    </row>
    <row r="27" spans="2:32" ht="15.75">
      <c r="B27" s="44" t="s">
        <v>22</v>
      </c>
      <c r="C27" s="45">
        <f>5617.029-88.1-5.8-210.448</f>
        <v>5312.681</v>
      </c>
      <c r="D27" s="17"/>
      <c r="E27" s="17"/>
      <c r="F27" s="17">
        <v>177.398</v>
      </c>
      <c r="G27" s="17"/>
      <c r="H27" s="17">
        <v>23.487</v>
      </c>
      <c r="I27" s="17"/>
      <c r="J27" s="22">
        <v>37.244</v>
      </c>
      <c r="K27" s="17">
        <v>69.798</v>
      </c>
      <c r="L27" s="17"/>
      <c r="M27" s="17">
        <v>111.154</v>
      </c>
      <c r="N27" s="17"/>
      <c r="O27" s="17">
        <v>536.962</v>
      </c>
      <c r="P27" s="17">
        <v>380.064</v>
      </c>
      <c r="Q27" s="17"/>
      <c r="R27" s="17">
        <v>42.728</v>
      </c>
      <c r="S27" s="17"/>
      <c r="T27" s="17">
        <v>287.5</v>
      </c>
      <c r="U27" s="17"/>
      <c r="V27" s="22">
        <v>-2.255</v>
      </c>
      <c r="W27" s="22"/>
      <c r="X27" s="17"/>
      <c r="Y27" s="17"/>
      <c r="Z27" s="17">
        <f>SUM(D27:Y27)</f>
        <v>1664.08</v>
      </c>
      <c r="AA27" s="41">
        <f t="shared" si="4"/>
        <v>-3648.6009999999997</v>
      </c>
      <c r="AB27" s="7"/>
      <c r="AC27" s="66" t="s">
        <v>32</v>
      </c>
      <c r="AD27" s="67">
        <f>$Z$49+$Z$73+$Z$79+$Z$80+$Z$84+$Z$75+$Z$77+$Z$81+$Z$82+$Z$83+$Z$78</f>
        <v>1357.7230000000002</v>
      </c>
      <c r="AF27" s="8"/>
    </row>
    <row r="28" spans="2:32" ht="15.75">
      <c r="B28" s="44" t="s">
        <v>24</v>
      </c>
      <c r="C28" s="45">
        <f>916.253+117.27+50</f>
        <v>1083.5230000000001</v>
      </c>
      <c r="D28" s="17"/>
      <c r="E28" s="17"/>
      <c r="F28" s="17">
        <v>61.58</v>
      </c>
      <c r="G28" s="17"/>
      <c r="H28" s="17">
        <v>18.254</v>
      </c>
      <c r="I28" s="17"/>
      <c r="J28" s="17">
        <f>128.825+0.983</f>
        <v>129.808</v>
      </c>
      <c r="K28" s="17">
        <v>50.755</v>
      </c>
      <c r="L28" s="17"/>
      <c r="M28" s="17">
        <v>114.471</v>
      </c>
      <c r="N28" s="17"/>
      <c r="O28" s="17">
        <v>100.706</v>
      </c>
      <c r="P28" s="17">
        <f>12.637+1.288</f>
        <v>13.925</v>
      </c>
      <c r="Q28" s="17"/>
      <c r="R28" s="17">
        <v>17.213</v>
      </c>
      <c r="S28" s="17"/>
      <c r="T28" s="17">
        <v>39.5</v>
      </c>
      <c r="U28" s="17"/>
      <c r="V28" s="17"/>
      <c r="W28" s="17"/>
      <c r="X28" s="17"/>
      <c r="Y28" s="17"/>
      <c r="Z28" s="17">
        <f>SUM(D28:Y28)</f>
        <v>546.212</v>
      </c>
      <c r="AA28" s="41">
        <f t="shared" si="4"/>
        <v>-537.3110000000001</v>
      </c>
      <c r="AB28" s="7"/>
      <c r="AC28" s="68"/>
      <c r="AD28" s="69"/>
      <c r="AF28" s="8"/>
    </row>
    <row r="29" spans="2:32" ht="29.25">
      <c r="B29" s="42" t="s">
        <v>33</v>
      </c>
      <c r="C29" s="43">
        <f>C30</f>
        <v>370.092</v>
      </c>
      <c r="D29" s="43">
        <f aca="true" t="shared" si="7" ref="D29:Z29">D30</f>
        <v>0</v>
      </c>
      <c r="E29" s="43">
        <f t="shared" si="7"/>
        <v>0</v>
      </c>
      <c r="F29" s="43">
        <f t="shared" si="7"/>
        <v>17.218</v>
      </c>
      <c r="G29" s="43">
        <f t="shared" si="7"/>
        <v>0</v>
      </c>
      <c r="H29" s="43">
        <f t="shared" si="7"/>
        <v>64.436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34.137</v>
      </c>
      <c r="N29" s="43">
        <f t="shared" si="7"/>
        <v>0</v>
      </c>
      <c r="O29" s="43">
        <f t="shared" si="7"/>
        <v>19.951</v>
      </c>
      <c r="P29" s="43">
        <f t="shared" si="7"/>
        <v>0</v>
      </c>
      <c r="Q29" s="43">
        <f>Q30</f>
        <v>0</v>
      </c>
      <c r="R29" s="43">
        <f>R30</f>
        <v>5.29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141.032</v>
      </c>
      <c r="AA29" s="41">
        <f t="shared" si="4"/>
        <v>-229.05999999999997</v>
      </c>
      <c r="AB29" s="7"/>
      <c r="AC29" s="9"/>
      <c r="AD29" s="46"/>
      <c r="AF29" s="8"/>
    </row>
    <row r="30" spans="2:30" ht="15.75">
      <c r="B30" s="47" t="s">
        <v>34</v>
      </c>
      <c r="C30" s="34">
        <f>350.092+20</f>
        <v>370.092</v>
      </c>
      <c r="D30" s="22"/>
      <c r="E30" s="22"/>
      <c r="F30" s="22">
        <v>17.218</v>
      </c>
      <c r="G30" s="22"/>
      <c r="H30" s="22">
        <v>64.436</v>
      </c>
      <c r="I30" s="22"/>
      <c r="J30" s="22"/>
      <c r="K30" s="22"/>
      <c r="L30" s="22"/>
      <c r="M30" s="22">
        <v>34.137</v>
      </c>
      <c r="N30" s="22"/>
      <c r="O30" s="22">
        <v>19.951</v>
      </c>
      <c r="P30" s="22"/>
      <c r="Q30" s="22"/>
      <c r="R30" s="22">
        <v>5.29</v>
      </c>
      <c r="S30" s="22"/>
      <c r="T30" s="22"/>
      <c r="U30" s="22"/>
      <c r="V30" s="22"/>
      <c r="W30" s="22"/>
      <c r="X30" s="34"/>
      <c r="Y30" s="34"/>
      <c r="Z30" s="17">
        <f aca="true" t="shared" si="8" ref="Z30:Z35">SUM(D30:Y30)</f>
        <v>141.032</v>
      </c>
      <c r="AA30" s="41">
        <f t="shared" si="4"/>
        <v>-229.05999999999997</v>
      </c>
      <c r="AD30" s="48"/>
    </row>
    <row r="31" spans="2:3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>
        <f t="shared" si="8"/>
        <v>0</v>
      </c>
      <c r="AA31" s="41">
        <f t="shared" si="4"/>
        <v>0</v>
      </c>
      <c r="AD31" s="48"/>
    </row>
    <row r="32" spans="1:39" s="1" customFormat="1" ht="29.25">
      <c r="A32" s="1" t="s">
        <v>36</v>
      </c>
      <c r="B32" s="42" t="s">
        <v>37</v>
      </c>
      <c r="C32" s="43">
        <v>493.338</v>
      </c>
      <c r="D32" s="43"/>
      <c r="E32" s="43">
        <v>135.427</v>
      </c>
      <c r="F32" s="43"/>
      <c r="G32" s="43"/>
      <c r="H32" s="43"/>
      <c r="I32" s="43"/>
      <c r="J32" s="43"/>
      <c r="K32" s="43">
        <v>3.771</v>
      </c>
      <c r="L32" s="43"/>
      <c r="M32" s="43">
        <v>83.6</v>
      </c>
      <c r="N32" s="43"/>
      <c r="O32" s="43">
        <v>11.905</v>
      </c>
      <c r="P32" s="43"/>
      <c r="Q32" s="43"/>
      <c r="R32" s="43">
        <v>11.983</v>
      </c>
      <c r="S32" s="43"/>
      <c r="T32" s="43"/>
      <c r="U32" s="43"/>
      <c r="V32" s="43"/>
      <c r="W32" s="43"/>
      <c r="X32" s="43"/>
      <c r="Y32" s="43"/>
      <c r="Z32" s="43">
        <f t="shared" si="8"/>
        <v>246.68599999999998</v>
      </c>
      <c r="AA32" s="41">
        <f t="shared" si="4"/>
        <v>-246.65200000000004</v>
      </c>
      <c r="AC32" s="8"/>
      <c r="AD32" s="48"/>
      <c r="AE32" s="3"/>
      <c r="AF32" s="4"/>
      <c r="AG32" s="4"/>
      <c r="AH32" s="4"/>
      <c r="AI32" s="4"/>
      <c r="AJ32" s="4"/>
      <c r="AK32" s="4"/>
      <c r="AL32" s="4"/>
      <c r="AM32" s="4"/>
    </row>
    <row r="33" spans="2:39" s="1" customFormat="1" ht="43.5">
      <c r="B33" s="42" t="s">
        <v>38</v>
      </c>
      <c r="C33" s="43">
        <v>184</v>
      </c>
      <c r="D33" s="43"/>
      <c r="E33" s="43"/>
      <c r="F33" s="43"/>
      <c r="G33" s="43"/>
      <c r="H33" s="43"/>
      <c r="I33" s="43"/>
      <c r="J33" s="43"/>
      <c r="K33" s="43"/>
      <c r="L33" s="43"/>
      <c r="M33" s="43">
        <v>110.505</v>
      </c>
      <c r="N33" s="43"/>
      <c r="O33" s="43"/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>
        <f t="shared" si="8"/>
        <v>110.505</v>
      </c>
      <c r="AA33" s="41">
        <f t="shared" si="4"/>
        <v>-73.495</v>
      </c>
      <c r="AC33" s="8"/>
      <c r="AD33" s="48"/>
      <c r="AE33" s="3"/>
      <c r="AF33" s="4"/>
      <c r="AG33" s="4"/>
      <c r="AH33" s="4"/>
      <c r="AI33" s="4"/>
      <c r="AJ33" s="4"/>
      <c r="AK33" s="4"/>
      <c r="AL33" s="4"/>
      <c r="AM33" s="4"/>
    </row>
    <row r="34" spans="2:39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>
        <f t="shared" si="8"/>
        <v>0</v>
      </c>
      <c r="AA34" s="41">
        <f t="shared" si="4"/>
        <v>0</v>
      </c>
      <c r="AC34" s="8"/>
      <c r="AD34" s="48"/>
      <c r="AE34" s="3"/>
      <c r="AF34" s="4"/>
      <c r="AG34" s="4"/>
      <c r="AH34" s="4"/>
      <c r="AI34" s="4"/>
      <c r="AJ34" s="4"/>
      <c r="AK34" s="4"/>
      <c r="AL34" s="4"/>
      <c r="AM34" s="4"/>
    </row>
    <row r="35" spans="2:39" s="1" customFormat="1" ht="57.75">
      <c r="B35" s="42" t="s">
        <v>40</v>
      </c>
      <c r="C35" s="43">
        <v>65</v>
      </c>
      <c r="D35" s="43"/>
      <c r="E35" s="43"/>
      <c r="F35" s="43"/>
      <c r="G35" s="43"/>
      <c r="H35" s="43"/>
      <c r="I35" s="43"/>
      <c r="J35" s="43"/>
      <c r="K35" s="43"/>
      <c r="L35" s="43"/>
      <c r="M35" s="43">
        <v>51.684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>
        <f t="shared" si="8"/>
        <v>51.684</v>
      </c>
      <c r="AA35" s="41">
        <f t="shared" si="4"/>
        <v>-13.316000000000003</v>
      </c>
      <c r="AC35" s="8"/>
      <c r="AD35" s="48"/>
      <c r="AE35" s="3"/>
      <c r="AF35" s="4"/>
      <c r="AG35" s="4"/>
      <c r="AH35" s="4"/>
      <c r="AI35" s="4"/>
      <c r="AJ35" s="4"/>
      <c r="AK35" s="4"/>
      <c r="AL35" s="4"/>
      <c r="AM35" s="4"/>
    </row>
    <row r="36" spans="2:39" s="1" customFormat="1" ht="15.75">
      <c r="B36" s="42" t="s">
        <v>41</v>
      </c>
      <c r="C36" s="43">
        <f aca="true" t="shared" si="9" ref="C36:Z36">SUM(C37:C40)</f>
        <v>749.15</v>
      </c>
      <c r="D36" s="43">
        <f t="shared" si="9"/>
        <v>0</v>
      </c>
      <c r="E36" s="43">
        <f t="shared" si="9"/>
        <v>0</v>
      </c>
      <c r="F36" s="43">
        <f t="shared" si="9"/>
        <v>23.9</v>
      </c>
      <c r="G36" s="43">
        <f t="shared" si="9"/>
        <v>0</v>
      </c>
      <c r="H36" s="43">
        <f t="shared" si="9"/>
        <v>6.892</v>
      </c>
      <c r="I36" s="43">
        <f t="shared" si="9"/>
        <v>0</v>
      </c>
      <c r="J36" s="43">
        <f t="shared" si="9"/>
        <v>0</v>
      </c>
      <c r="K36" s="43">
        <f t="shared" si="9"/>
        <v>211.829</v>
      </c>
      <c r="L36" s="43">
        <f t="shared" si="9"/>
        <v>0</v>
      </c>
      <c r="M36" s="43">
        <f t="shared" si="9"/>
        <v>0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403.5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646.121</v>
      </c>
      <c r="AA36" s="41">
        <f t="shared" si="4"/>
        <v>-103.029</v>
      </c>
      <c r="AC36" s="8"/>
      <c r="AD36" s="48"/>
      <c r="AE36" s="3"/>
      <c r="AF36" s="4"/>
      <c r="AG36" s="4"/>
      <c r="AH36" s="4"/>
      <c r="AI36" s="4"/>
      <c r="AJ36" s="4"/>
      <c r="AK36" s="4"/>
      <c r="AL36" s="4"/>
      <c r="AM36" s="4"/>
    </row>
    <row r="37" spans="2:39" s="1" customFormat="1" ht="15.75">
      <c r="B37" s="44" t="s">
        <v>20</v>
      </c>
      <c r="C37" s="45">
        <v>646.946</v>
      </c>
      <c r="D37" s="17"/>
      <c r="E37" s="17"/>
      <c r="F37" s="17">
        <v>13.2</v>
      </c>
      <c r="G37" s="17"/>
      <c r="H37" s="17"/>
      <c r="I37" s="17"/>
      <c r="J37" s="22"/>
      <c r="K37" s="17">
        <v>201.051</v>
      </c>
      <c r="L37" s="17"/>
      <c r="M37" s="17"/>
      <c r="N37" s="17"/>
      <c r="O37" s="17"/>
      <c r="P37" s="50"/>
      <c r="Q37" s="17"/>
      <c r="R37" s="50"/>
      <c r="S37" s="17"/>
      <c r="T37" s="17">
        <v>396.3</v>
      </c>
      <c r="U37" s="17"/>
      <c r="V37" s="22"/>
      <c r="W37" s="22"/>
      <c r="X37" s="17"/>
      <c r="Y37" s="17"/>
      <c r="Z37" s="17">
        <f>SUM(D37:Y37)</f>
        <v>610.5509999999999</v>
      </c>
      <c r="AA37" s="41">
        <f t="shared" si="4"/>
        <v>-36.395000000000095</v>
      </c>
      <c r="AC37" s="8"/>
      <c r="AD37" s="48"/>
      <c r="AE37" s="3"/>
      <c r="AF37" s="4"/>
      <c r="AG37" s="4"/>
      <c r="AH37" s="4"/>
      <c r="AI37" s="4"/>
      <c r="AJ37" s="4"/>
      <c r="AK37" s="4"/>
      <c r="AL37" s="4"/>
      <c r="AM37" s="4"/>
    </row>
    <row r="38" spans="2:39" s="1" customFormat="1" ht="15.75">
      <c r="B38" s="44" t="s">
        <v>28</v>
      </c>
      <c r="C38" s="45">
        <v>3.6</v>
      </c>
      <c r="D38" s="17"/>
      <c r="E38" s="17"/>
      <c r="F38" s="17"/>
      <c r="G38" s="17"/>
      <c r="H38" s="17"/>
      <c r="I38" s="17"/>
      <c r="J38" s="22"/>
      <c r="K38" s="17">
        <v>3.586</v>
      </c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>
        <f>SUM(D38:Y38)</f>
        <v>3.586</v>
      </c>
      <c r="AA38" s="41">
        <f t="shared" si="4"/>
        <v>-0.014000000000000234</v>
      </c>
      <c r="AC38" s="8"/>
      <c r="AD38" s="48"/>
      <c r="AE38" s="3"/>
      <c r="AF38" s="4"/>
      <c r="AG38" s="4"/>
      <c r="AH38" s="4"/>
      <c r="AI38" s="4"/>
      <c r="AJ38" s="4"/>
      <c r="AK38" s="4"/>
      <c r="AL38" s="4"/>
      <c r="AM38" s="4"/>
    </row>
    <row r="39" spans="2:39" s="1" customFormat="1" ht="15.75">
      <c r="B39" s="44" t="s">
        <v>22</v>
      </c>
      <c r="C39" s="45">
        <v>87.622</v>
      </c>
      <c r="D39" s="17"/>
      <c r="E39" s="17"/>
      <c r="F39" s="17">
        <v>10.1</v>
      </c>
      <c r="G39" s="17"/>
      <c r="H39" s="17">
        <v>6.892</v>
      </c>
      <c r="I39" s="17"/>
      <c r="J39" s="17"/>
      <c r="K39" s="17">
        <v>4.495</v>
      </c>
      <c r="L39" s="17"/>
      <c r="M39" s="17"/>
      <c r="N39" s="17"/>
      <c r="O39" s="17"/>
      <c r="P39" s="50"/>
      <c r="Q39" s="17"/>
      <c r="R39" s="50"/>
      <c r="S39" s="17"/>
      <c r="T39" s="17">
        <v>7.2</v>
      </c>
      <c r="U39" s="17"/>
      <c r="V39" s="22"/>
      <c r="W39" s="22"/>
      <c r="X39" s="17"/>
      <c r="Y39" s="17"/>
      <c r="Z39" s="17">
        <f>SUM(D39:Y39)</f>
        <v>28.687</v>
      </c>
      <c r="AA39" s="41">
        <f t="shared" si="4"/>
        <v>-58.935</v>
      </c>
      <c r="AC39" s="8"/>
      <c r="AD39" s="48"/>
      <c r="AE39" s="3"/>
      <c r="AF39" s="4"/>
      <c r="AG39" s="4"/>
      <c r="AH39" s="4"/>
      <c r="AI39" s="4"/>
      <c r="AJ39" s="4"/>
      <c r="AK39" s="4"/>
      <c r="AL39" s="4"/>
      <c r="AM39" s="4"/>
    </row>
    <row r="40" spans="2:39" s="1" customFormat="1" ht="15.75">
      <c r="B40" s="44" t="s">
        <v>24</v>
      </c>
      <c r="C40" s="45">
        <v>10.982</v>
      </c>
      <c r="D40" s="17"/>
      <c r="E40" s="17"/>
      <c r="F40" s="17">
        <v>0.6</v>
      </c>
      <c r="G40" s="17"/>
      <c r="H40" s="17"/>
      <c r="I40" s="17"/>
      <c r="J40" s="17"/>
      <c r="K40" s="17">
        <v>2.697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>
        <f>SUM(D40:Y40)</f>
        <v>3.297</v>
      </c>
      <c r="AA40" s="41">
        <f t="shared" si="4"/>
        <v>-7.684999999999999</v>
      </c>
      <c r="AC40" s="8"/>
      <c r="AD40" s="48"/>
      <c r="AE40" s="3"/>
      <c r="AF40" s="4"/>
      <c r="AG40" s="4"/>
      <c r="AH40" s="4"/>
      <c r="AI40" s="4"/>
      <c r="AJ40" s="4"/>
      <c r="AK40" s="4"/>
      <c r="AL40" s="4"/>
      <c r="AM40" s="4"/>
    </row>
    <row r="41" spans="2:39" s="1" customFormat="1" ht="15.75">
      <c r="B41" s="42" t="s">
        <v>42</v>
      </c>
      <c r="C41" s="43">
        <f aca="true" t="shared" si="10" ref="C41:S41">SUM(C42:C44)</f>
        <v>327.723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54.611000000000004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0</v>
      </c>
      <c r="O41" s="43">
        <f t="shared" si="10"/>
        <v>13.828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aca="true" t="shared" si="11" ref="T41:Z41">SUM(T42:T44)</f>
        <v>107.3</v>
      </c>
      <c r="U41" s="43">
        <f t="shared" si="11"/>
        <v>0</v>
      </c>
      <c r="V41" s="43">
        <f t="shared" si="11"/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 t="shared" si="11"/>
        <v>175.73900000000003</v>
      </c>
      <c r="AA41" s="41">
        <f t="shared" si="4"/>
        <v>-151.98399999999998</v>
      </c>
      <c r="AC41" s="8"/>
      <c r="AD41" s="48"/>
      <c r="AE41" s="3"/>
      <c r="AF41" s="4"/>
      <c r="AG41" s="4"/>
      <c r="AH41" s="4"/>
      <c r="AI41" s="4"/>
      <c r="AJ41" s="4"/>
      <c r="AK41" s="4"/>
      <c r="AL41" s="4"/>
      <c r="AM41" s="4"/>
    </row>
    <row r="42" spans="2:39" s="1" customFormat="1" ht="15.75">
      <c r="B42" s="44" t="s">
        <v>20</v>
      </c>
      <c r="C42" s="45">
        <f>193.661+90.4</f>
        <v>284.06100000000004</v>
      </c>
      <c r="D42" s="17"/>
      <c r="E42" s="17"/>
      <c r="F42" s="17"/>
      <c r="G42" s="17"/>
      <c r="H42" s="17"/>
      <c r="I42" s="17"/>
      <c r="J42" s="22">
        <v>50.47</v>
      </c>
      <c r="K42" s="17"/>
      <c r="L42" s="17"/>
      <c r="M42" s="17"/>
      <c r="N42" s="17"/>
      <c r="O42" s="17"/>
      <c r="P42" s="50"/>
      <c r="Q42" s="17"/>
      <c r="R42" s="50"/>
      <c r="S42" s="17"/>
      <c r="T42" s="17">
        <v>104.7</v>
      </c>
      <c r="U42" s="17"/>
      <c r="V42" s="22"/>
      <c r="W42" s="22"/>
      <c r="X42" s="17"/>
      <c r="Y42" s="17"/>
      <c r="Z42" s="17">
        <f>SUM(D42:Y42)</f>
        <v>155.17000000000002</v>
      </c>
      <c r="AA42" s="41">
        <f t="shared" si="4"/>
        <v>-128.89100000000002</v>
      </c>
      <c r="AC42" s="8"/>
      <c r="AD42" s="48"/>
      <c r="AE42" s="3"/>
      <c r="AF42" s="4"/>
      <c r="AG42" s="4"/>
      <c r="AH42" s="4"/>
      <c r="AI42" s="4"/>
      <c r="AJ42" s="4"/>
      <c r="AK42" s="4"/>
      <c r="AL42" s="4"/>
      <c r="AM42" s="4"/>
    </row>
    <row r="43" spans="2:39" s="1" customFormat="1" ht="15.75">
      <c r="B43" s="44" t="s">
        <v>22</v>
      </c>
      <c r="C43" s="45">
        <f>32.851-3.5</f>
        <v>29.351</v>
      </c>
      <c r="D43" s="17"/>
      <c r="E43" s="17"/>
      <c r="F43" s="17"/>
      <c r="G43" s="17"/>
      <c r="H43" s="17"/>
      <c r="I43" s="17"/>
      <c r="J43" s="22">
        <v>1.343</v>
      </c>
      <c r="K43" s="17"/>
      <c r="L43" s="17"/>
      <c r="M43" s="17"/>
      <c r="N43" s="17"/>
      <c r="O43" s="17">
        <v>11.491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>
        <f>SUM(D43:Y43)</f>
        <v>12.834</v>
      </c>
      <c r="AA43" s="41">
        <f t="shared" si="4"/>
        <v>-16.517</v>
      </c>
      <c r="AC43" s="8"/>
      <c r="AD43" s="48"/>
      <c r="AE43" s="3"/>
      <c r="AF43" s="4"/>
      <c r="AG43" s="4"/>
      <c r="AH43" s="4"/>
      <c r="AI43" s="4"/>
      <c r="AJ43" s="4"/>
      <c r="AK43" s="4"/>
      <c r="AL43" s="4"/>
      <c r="AM43" s="4"/>
    </row>
    <row r="44" spans="2:39" s="1" customFormat="1" ht="15.75">
      <c r="B44" s="44" t="s">
        <v>24</v>
      </c>
      <c r="C44" s="45">
        <f>10.811+3.5</f>
        <v>14.311</v>
      </c>
      <c r="D44" s="17"/>
      <c r="E44" s="17"/>
      <c r="F44" s="17"/>
      <c r="G44" s="17"/>
      <c r="H44" s="17"/>
      <c r="I44" s="17"/>
      <c r="J44" s="17">
        <v>2.798</v>
      </c>
      <c r="K44" s="17"/>
      <c r="L44" s="17"/>
      <c r="M44" s="17"/>
      <c r="N44" s="17"/>
      <c r="O44" s="17">
        <v>2.337</v>
      </c>
      <c r="P44" s="17"/>
      <c r="Q44" s="17"/>
      <c r="R44" s="17"/>
      <c r="S44" s="17"/>
      <c r="T44" s="17">
        <v>2.6</v>
      </c>
      <c r="U44" s="17"/>
      <c r="V44" s="17"/>
      <c r="W44" s="17"/>
      <c r="X44" s="17"/>
      <c r="Y44" s="17"/>
      <c r="Z44" s="17">
        <f>SUM(D44:Y44)</f>
        <v>7.734999999999999</v>
      </c>
      <c r="AA44" s="41">
        <f t="shared" si="4"/>
        <v>-6.5760000000000005</v>
      </c>
      <c r="AC44" s="8"/>
      <c r="AD44" s="48"/>
      <c r="AE44" s="3"/>
      <c r="AF44" s="4"/>
      <c r="AG44" s="4"/>
      <c r="AH44" s="4"/>
      <c r="AI44" s="4"/>
      <c r="AJ44" s="4"/>
      <c r="AK44" s="4"/>
      <c r="AL44" s="4"/>
      <c r="AM44" s="4"/>
    </row>
    <row r="45" spans="2:39" s="1" customFormat="1" ht="15.75">
      <c r="B45" s="42" t="s">
        <v>43</v>
      </c>
      <c r="C45" s="43">
        <f aca="true" t="shared" si="12" ref="C45:X45">SUM(C46:C48)</f>
        <v>142.665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42.827</v>
      </c>
      <c r="K45" s="43">
        <f t="shared" si="12"/>
        <v>0</v>
      </c>
      <c r="L45" s="43">
        <f t="shared" si="12"/>
        <v>0</v>
      </c>
      <c r="M45" s="43">
        <f t="shared" si="12"/>
        <v>0</v>
      </c>
      <c r="N45" s="43">
        <f t="shared" si="12"/>
        <v>0</v>
      </c>
      <c r="O45" s="43">
        <f t="shared" si="12"/>
        <v>3.477</v>
      </c>
      <c r="P45" s="43">
        <f t="shared" si="12"/>
        <v>0</v>
      </c>
      <c r="Q45" s="43">
        <f t="shared" si="12"/>
        <v>0</v>
      </c>
      <c r="R45" s="43">
        <f t="shared" si="12"/>
        <v>44.522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>SUM(Y46:Y48)</f>
        <v>0</v>
      </c>
      <c r="Z45" s="43">
        <f>SUM(D45:X45)</f>
        <v>90.826</v>
      </c>
      <c r="AA45" s="41">
        <f t="shared" si="4"/>
        <v>-51.839</v>
      </c>
      <c r="AC45" s="8"/>
      <c r="AD45" s="48"/>
      <c r="AE45" s="3"/>
      <c r="AF45" s="4"/>
      <c r="AG45" s="4"/>
      <c r="AH45" s="4"/>
      <c r="AI45" s="4"/>
      <c r="AJ45" s="4"/>
      <c r="AK45" s="4"/>
      <c r="AL45" s="4"/>
      <c r="AM45" s="4"/>
    </row>
    <row r="46" spans="2:39" s="1" customFormat="1" ht="15.75">
      <c r="B46" s="44" t="s">
        <v>20</v>
      </c>
      <c r="C46" s="45">
        <v>130.965</v>
      </c>
      <c r="D46" s="17"/>
      <c r="E46" s="17"/>
      <c r="F46" s="17"/>
      <c r="G46" s="17"/>
      <c r="H46" s="17"/>
      <c r="I46" s="17"/>
      <c r="J46" s="22">
        <v>42.827</v>
      </c>
      <c r="K46" s="17"/>
      <c r="L46" s="17"/>
      <c r="M46" s="17"/>
      <c r="N46" s="17"/>
      <c r="O46" s="17"/>
      <c r="P46" s="17"/>
      <c r="Q46" s="17"/>
      <c r="R46" s="17">
        <v>44.522</v>
      </c>
      <c r="S46" s="17"/>
      <c r="T46" s="17"/>
      <c r="U46" s="17"/>
      <c r="V46" s="22"/>
      <c r="W46" s="22"/>
      <c r="X46" s="22"/>
      <c r="Y46" s="22"/>
      <c r="Z46" s="17">
        <f>SUM(D46:Y46)</f>
        <v>87.34899999999999</v>
      </c>
      <c r="AA46" s="41">
        <f t="shared" si="4"/>
        <v>-43.616000000000014</v>
      </c>
      <c r="AC46" s="8"/>
      <c r="AD46" s="48"/>
      <c r="AE46" s="3"/>
      <c r="AF46" s="4"/>
      <c r="AG46" s="4"/>
      <c r="AH46" s="4"/>
      <c r="AI46" s="4"/>
      <c r="AJ46" s="4"/>
      <c r="AK46" s="4"/>
      <c r="AL46" s="4"/>
      <c r="AM46" s="4"/>
    </row>
    <row r="47" spans="2:39" s="1" customFormat="1" ht="15.75">
      <c r="B47" s="44" t="s">
        <v>22</v>
      </c>
      <c r="C47" s="45">
        <v>10.2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>
        <v>3.477</v>
      </c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17">
        <f>SUM(D47:Y47)</f>
        <v>3.477</v>
      </c>
      <c r="AA47" s="41">
        <f t="shared" si="4"/>
        <v>-6.722999999999999</v>
      </c>
      <c r="AC47" s="8"/>
      <c r="AD47" s="48"/>
      <c r="AE47" s="3"/>
      <c r="AF47" s="4"/>
      <c r="AG47" s="4"/>
      <c r="AH47" s="4"/>
      <c r="AI47" s="4"/>
      <c r="AJ47" s="4"/>
      <c r="AK47" s="4"/>
      <c r="AL47" s="4"/>
      <c r="AM47" s="4"/>
    </row>
    <row r="48" spans="2:39" s="1" customFormat="1" ht="15.75">
      <c r="B48" s="44" t="s">
        <v>24</v>
      </c>
      <c r="C48" s="45">
        <v>1.5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f>SUM(D48:Y48)</f>
        <v>0</v>
      </c>
      <c r="AA48" s="41">
        <f t="shared" si="4"/>
        <v>-1.5</v>
      </c>
      <c r="AC48" s="8"/>
      <c r="AD48" s="48"/>
      <c r="AE48" s="3"/>
      <c r="AF48" s="4"/>
      <c r="AG48" s="4"/>
      <c r="AH48" s="4"/>
      <c r="AI48" s="4"/>
      <c r="AJ48" s="4"/>
      <c r="AK48" s="4"/>
      <c r="AL48" s="4"/>
      <c r="AM48" s="4"/>
    </row>
    <row r="49" spans="1:39" s="1" customFormat="1" ht="15.75">
      <c r="A49" s="1">
        <v>90501</v>
      </c>
      <c r="B49" s="42" t="s">
        <v>44</v>
      </c>
      <c r="C49" s="43">
        <f>C50+C51</f>
        <v>9.15</v>
      </c>
      <c r="D49" s="43">
        <f aca="true" t="shared" si="13" ref="D49:X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>Y50+Y51</f>
        <v>0</v>
      </c>
      <c r="Z49" s="43">
        <f>SUM(D49:X49)</f>
        <v>0</v>
      </c>
      <c r="AA49" s="41">
        <f t="shared" si="4"/>
        <v>-9.15</v>
      </c>
      <c r="AC49" s="8"/>
      <c r="AD49" s="48"/>
      <c r="AE49" s="3"/>
      <c r="AF49" s="4"/>
      <c r="AG49" s="4"/>
      <c r="AH49" s="4"/>
      <c r="AI49" s="4"/>
      <c r="AJ49" s="4"/>
      <c r="AK49" s="4"/>
      <c r="AL49" s="4"/>
      <c r="AM49" s="4"/>
    </row>
    <row r="50" spans="2:39" s="51" customFormat="1" ht="15.75">
      <c r="B50" s="44" t="s">
        <v>20</v>
      </c>
      <c r="C50" s="34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7">
        <f>SUM(D50:Y50)</f>
        <v>0</v>
      </c>
      <c r="AA50" s="41">
        <f aca="true" t="shared" si="14" ref="AA50:AA83">Z50-C50</f>
        <v>0</v>
      </c>
      <c r="AC50" s="52"/>
      <c r="AD50" s="53"/>
      <c r="AE50" s="54"/>
      <c r="AF50" s="55"/>
      <c r="AG50" s="55"/>
      <c r="AH50" s="55"/>
      <c r="AI50" s="55"/>
      <c r="AJ50" s="55"/>
      <c r="AK50" s="55"/>
      <c r="AL50" s="55"/>
      <c r="AM50" s="55"/>
    </row>
    <row r="51" spans="2:39" s="51" customFormat="1" ht="15.75">
      <c r="B51" s="44" t="s">
        <v>34</v>
      </c>
      <c r="C51" s="34">
        <v>9.15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7">
        <f>SUM(D51:Y51)</f>
        <v>0</v>
      </c>
      <c r="AA51" s="41">
        <f t="shared" si="14"/>
        <v>-9.15</v>
      </c>
      <c r="AC51" s="52"/>
      <c r="AD51" s="53"/>
      <c r="AE51" s="54"/>
      <c r="AF51" s="55"/>
      <c r="AG51" s="55"/>
      <c r="AH51" s="55"/>
      <c r="AI51" s="55"/>
      <c r="AJ51" s="55"/>
      <c r="AK51" s="55"/>
      <c r="AL51" s="55"/>
      <c r="AM51" s="55"/>
    </row>
    <row r="52" spans="1:39" s="1" customFormat="1" ht="15.75">
      <c r="A52" s="1">
        <v>110000</v>
      </c>
      <c r="B52" s="42" t="s">
        <v>45</v>
      </c>
      <c r="C52" s="43">
        <f aca="true" t="shared" si="15" ref="C52:Z52">SUM(C53:C55)</f>
        <v>982.86</v>
      </c>
      <c r="D52" s="43">
        <f t="shared" si="15"/>
        <v>0</v>
      </c>
      <c r="E52" s="43">
        <f t="shared" si="15"/>
        <v>2.82</v>
      </c>
      <c r="F52" s="43">
        <f t="shared" si="15"/>
        <v>25.3</v>
      </c>
      <c r="G52" s="43">
        <f t="shared" si="15"/>
        <v>0</v>
      </c>
      <c r="H52" s="43">
        <f t="shared" si="15"/>
        <v>4.8</v>
      </c>
      <c r="I52" s="43">
        <f t="shared" si="15"/>
        <v>0</v>
      </c>
      <c r="J52" s="43">
        <f t="shared" si="15"/>
        <v>95.15599999999999</v>
      </c>
      <c r="K52" s="43">
        <f t="shared" si="15"/>
        <v>91.114</v>
      </c>
      <c r="L52" s="43">
        <f t="shared" si="15"/>
        <v>0</v>
      </c>
      <c r="M52" s="43">
        <f t="shared" si="15"/>
        <v>0</v>
      </c>
      <c r="N52" s="43">
        <f t="shared" si="15"/>
        <v>0</v>
      </c>
      <c r="O52" s="43">
        <f t="shared" si="15"/>
        <v>62.321000000000005</v>
      </c>
      <c r="P52" s="43">
        <f t="shared" si="15"/>
        <v>0</v>
      </c>
      <c r="Q52" s="43">
        <f t="shared" si="15"/>
        <v>0</v>
      </c>
      <c r="R52" s="43">
        <f t="shared" si="15"/>
        <v>0</v>
      </c>
      <c r="S52" s="43">
        <f t="shared" si="15"/>
        <v>0</v>
      </c>
      <c r="T52" s="43">
        <f t="shared" si="15"/>
        <v>320.6</v>
      </c>
      <c r="U52" s="43">
        <f t="shared" si="15"/>
        <v>0</v>
      </c>
      <c r="V52" s="43">
        <f t="shared" si="15"/>
        <v>0</v>
      </c>
      <c r="W52" s="43">
        <f t="shared" si="15"/>
        <v>0</v>
      </c>
      <c r="X52" s="43">
        <f t="shared" si="15"/>
        <v>0</v>
      </c>
      <c r="Y52" s="43">
        <f t="shared" si="15"/>
        <v>0</v>
      </c>
      <c r="Z52" s="43">
        <f t="shared" si="15"/>
        <v>602.1110000000001</v>
      </c>
      <c r="AA52" s="41">
        <f t="shared" si="14"/>
        <v>-380.7489999999999</v>
      </c>
      <c r="AB52" s="5"/>
      <c r="AC52" s="3"/>
      <c r="AD52" s="3"/>
      <c r="AE52" s="3"/>
      <c r="AF52" s="4"/>
      <c r="AG52" s="4"/>
      <c r="AH52" s="4"/>
      <c r="AI52" s="4"/>
      <c r="AJ52" s="4"/>
      <c r="AK52" s="4"/>
      <c r="AL52" s="4"/>
      <c r="AM52" s="4"/>
    </row>
    <row r="53" spans="2:27" ht="15.75">
      <c r="B53" s="44" t="s">
        <v>20</v>
      </c>
      <c r="C53" s="45">
        <v>631.592</v>
      </c>
      <c r="D53" s="17"/>
      <c r="E53" s="17"/>
      <c r="F53" s="17"/>
      <c r="G53" s="17"/>
      <c r="H53" s="17"/>
      <c r="I53" s="17"/>
      <c r="J53" s="22">
        <v>74.46</v>
      </c>
      <c r="K53" s="17">
        <v>91.114</v>
      </c>
      <c r="L53" s="17"/>
      <c r="M53" s="17"/>
      <c r="N53" s="17"/>
      <c r="O53" s="17"/>
      <c r="P53" s="50"/>
      <c r="Q53" s="17"/>
      <c r="R53" s="50"/>
      <c r="S53" s="17"/>
      <c r="T53" s="17">
        <v>319</v>
      </c>
      <c r="U53" s="17"/>
      <c r="V53" s="22"/>
      <c r="W53" s="22"/>
      <c r="X53" s="17"/>
      <c r="Y53" s="17"/>
      <c r="Z53" s="17">
        <f>SUM(D53:Y53)</f>
        <v>484.574</v>
      </c>
      <c r="AA53" s="41">
        <f t="shared" si="14"/>
        <v>-147.01799999999997</v>
      </c>
    </row>
    <row r="54" spans="2:27" ht="15.75">
      <c r="B54" s="44" t="s">
        <v>22</v>
      </c>
      <c r="C54" s="45">
        <v>288.099</v>
      </c>
      <c r="D54" s="17"/>
      <c r="E54" s="17"/>
      <c r="F54" s="17">
        <v>25.2</v>
      </c>
      <c r="G54" s="17"/>
      <c r="H54" s="17"/>
      <c r="I54" s="17"/>
      <c r="J54" s="22">
        <v>19.268</v>
      </c>
      <c r="K54" s="17"/>
      <c r="L54" s="17"/>
      <c r="M54" s="17"/>
      <c r="N54" s="17"/>
      <c r="O54" s="17">
        <v>61.926</v>
      </c>
      <c r="P54" s="50"/>
      <c r="Q54" s="17"/>
      <c r="R54" s="50"/>
      <c r="S54" s="17"/>
      <c r="T54" s="17"/>
      <c r="U54" s="17"/>
      <c r="V54" s="22"/>
      <c r="W54" s="22"/>
      <c r="X54" s="17"/>
      <c r="Y54" s="17"/>
      <c r="Z54" s="17">
        <f>SUM(D54:Y54)</f>
        <v>106.394</v>
      </c>
      <c r="AA54" s="41">
        <f t="shared" si="14"/>
        <v>-181.70499999999998</v>
      </c>
    </row>
    <row r="55" spans="2:28" ht="15.75">
      <c r="B55" s="44" t="s">
        <v>24</v>
      </c>
      <c r="C55" s="45">
        <f>38.169+25</f>
        <v>63.169</v>
      </c>
      <c r="D55" s="17"/>
      <c r="E55" s="17">
        <v>2.82</v>
      </c>
      <c r="F55" s="17">
        <v>0.1</v>
      </c>
      <c r="G55" s="17"/>
      <c r="H55" s="17">
        <v>4.8</v>
      </c>
      <c r="I55" s="17"/>
      <c r="J55" s="17">
        <v>1.428</v>
      </c>
      <c r="K55" s="17"/>
      <c r="L55" s="17"/>
      <c r="M55" s="17"/>
      <c r="N55" s="17"/>
      <c r="O55" s="17">
        <v>0.395</v>
      </c>
      <c r="P55" s="17"/>
      <c r="Q55" s="17"/>
      <c r="R55" s="17"/>
      <c r="S55" s="17"/>
      <c r="T55" s="17">
        <v>1.6</v>
      </c>
      <c r="U55" s="17"/>
      <c r="V55" s="17"/>
      <c r="W55" s="17"/>
      <c r="X55" s="17"/>
      <c r="Y55" s="17"/>
      <c r="Z55" s="17">
        <f>SUM(D55:Y55)</f>
        <v>11.142999999999999</v>
      </c>
      <c r="AA55" s="41">
        <f t="shared" si="14"/>
        <v>-52.025999999999996</v>
      </c>
      <c r="AB55" s="1"/>
    </row>
    <row r="56" spans="1:39" s="1" customFormat="1" ht="15.75">
      <c r="A56" s="1">
        <v>130000</v>
      </c>
      <c r="B56" s="42" t="s">
        <v>47</v>
      </c>
      <c r="C56" s="43">
        <f>SUM(C57:C61)</f>
        <v>739.128</v>
      </c>
      <c r="D56" s="43">
        <f aca="true" t="shared" si="16" ref="D56:Z56">SUM(D57:D61)</f>
        <v>0</v>
      </c>
      <c r="E56" s="43">
        <f t="shared" si="16"/>
        <v>0</v>
      </c>
      <c r="F56" s="43">
        <f t="shared" si="16"/>
        <v>28.599999999999998</v>
      </c>
      <c r="G56" s="43">
        <f t="shared" si="16"/>
        <v>0</v>
      </c>
      <c r="H56" s="43">
        <f t="shared" si="16"/>
        <v>35.086</v>
      </c>
      <c r="I56" s="43">
        <f t="shared" si="16"/>
        <v>0</v>
      </c>
      <c r="J56" s="43">
        <f t="shared" si="16"/>
        <v>134.06</v>
      </c>
      <c r="K56" s="43">
        <f t="shared" si="16"/>
        <v>14.62</v>
      </c>
      <c r="L56" s="43">
        <f t="shared" si="16"/>
        <v>0</v>
      </c>
      <c r="M56" s="43">
        <f t="shared" si="16"/>
        <v>0</v>
      </c>
      <c r="N56" s="43">
        <f t="shared" si="16"/>
        <v>0</v>
      </c>
      <c r="O56" s="43">
        <f t="shared" si="16"/>
        <v>24.422</v>
      </c>
      <c r="P56" s="43">
        <f t="shared" si="16"/>
        <v>0</v>
      </c>
      <c r="Q56" s="43">
        <f t="shared" si="16"/>
        <v>0</v>
      </c>
      <c r="R56" s="43">
        <f t="shared" si="16"/>
        <v>20.303</v>
      </c>
      <c r="S56" s="43">
        <f t="shared" si="16"/>
        <v>0</v>
      </c>
      <c r="T56" s="43">
        <f>SUM(T57:T61)</f>
        <v>244.1</v>
      </c>
      <c r="U56" s="43">
        <f>SUM(U57:U61)</f>
        <v>0</v>
      </c>
      <c r="V56" s="43">
        <f t="shared" si="16"/>
        <v>0</v>
      </c>
      <c r="W56" s="43">
        <f t="shared" si="16"/>
        <v>0</v>
      </c>
      <c r="X56" s="43">
        <f t="shared" si="16"/>
        <v>0</v>
      </c>
      <c r="Y56" s="43">
        <f>SUM(Y57:Y61)</f>
        <v>0</v>
      </c>
      <c r="Z56" s="43">
        <f t="shared" si="16"/>
        <v>501.191</v>
      </c>
      <c r="AA56" s="41">
        <f t="shared" si="14"/>
        <v>-237.93700000000007</v>
      </c>
      <c r="AB56" s="5"/>
      <c r="AC56" s="3"/>
      <c r="AD56" s="3"/>
      <c r="AE56" s="3"/>
      <c r="AF56" s="4"/>
      <c r="AG56" s="4"/>
      <c r="AH56" s="4"/>
      <c r="AI56" s="4"/>
      <c r="AJ56" s="4"/>
      <c r="AK56" s="4"/>
      <c r="AL56" s="4"/>
      <c r="AM56" s="4"/>
    </row>
    <row r="57" spans="2:27" ht="15.75">
      <c r="B57" s="44" t="s">
        <v>20</v>
      </c>
      <c r="C57" s="45">
        <v>427.439</v>
      </c>
      <c r="D57" s="17"/>
      <c r="E57" s="17"/>
      <c r="F57" s="17"/>
      <c r="G57" s="17"/>
      <c r="H57" s="17"/>
      <c r="I57" s="17"/>
      <c r="J57" s="50">
        <v>133.62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235.5</v>
      </c>
      <c r="U57" s="17"/>
      <c r="V57" s="22"/>
      <c r="W57" s="22"/>
      <c r="X57" s="17"/>
      <c r="Y57" s="17"/>
      <c r="Z57" s="17">
        <f>SUM(D57:Y57)</f>
        <v>369.12</v>
      </c>
      <c r="AA57" s="41">
        <f t="shared" si="14"/>
        <v>-58.31900000000002</v>
      </c>
    </row>
    <row r="58" spans="2:27" ht="15.75">
      <c r="B58" s="44" t="s">
        <v>28</v>
      </c>
      <c r="C58" s="45">
        <v>1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>
        <f>SUM(D58:Y58)</f>
        <v>0</v>
      </c>
      <c r="AA58" s="41">
        <f t="shared" si="14"/>
        <v>-1</v>
      </c>
    </row>
    <row r="59" spans="2:27" ht="15.75">
      <c r="B59" s="44" t="s">
        <v>22</v>
      </c>
      <c r="C59" s="45">
        <v>147.52</v>
      </c>
      <c r="D59" s="17"/>
      <c r="E59" s="17"/>
      <c r="F59" s="17"/>
      <c r="G59" s="17"/>
      <c r="H59" s="17">
        <v>19.607</v>
      </c>
      <c r="I59" s="17"/>
      <c r="J59" s="22"/>
      <c r="K59" s="17">
        <v>9.77</v>
      </c>
      <c r="L59" s="17"/>
      <c r="M59" s="17"/>
      <c r="N59" s="17"/>
      <c r="O59" s="17">
        <v>3.649</v>
      </c>
      <c r="P59" s="50"/>
      <c r="Q59" s="17"/>
      <c r="R59" s="17"/>
      <c r="S59" s="17"/>
      <c r="T59" s="17">
        <v>0.6</v>
      </c>
      <c r="U59" s="17"/>
      <c r="V59" s="22"/>
      <c r="W59" s="22"/>
      <c r="X59" s="17"/>
      <c r="Y59" s="17"/>
      <c r="Z59" s="17">
        <f>SUM(D59:Y59)</f>
        <v>33.626</v>
      </c>
      <c r="AA59" s="41">
        <f t="shared" si="14"/>
        <v>-113.894</v>
      </c>
    </row>
    <row r="60" spans="2:27" ht="15.75">
      <c r="B60" s="44" t="s">
        <v>34</v>
      </c>
      <c r="C60" s="45">
        <v>34.4</v>
      </c>
      <c r="D60" s="17"/>
      <c r="E60" s="17"/>
      <c r="F60" s="17">
        <v>0.7</v>
      </c>
      <c r="G60" s="17"/>
      <c r="H60" s="17">
        <v>9.679</v>
      </c>
      <c r="I60" s="17"/>
      <c r="J60" s="22"/>
      <c r="K60" s="17"/>
      <c r="L60" s="17"/>
      <c r="M60" s="17"/>
      <c r="N60" s="17"/>
      <c r="O60" s="17"/>
      <c r="P60" s="17"/>
      <c r="Q60" s="17"/>
      <c r="R60" s="17">
        <v>15.363</v>
      </c>
      <c r="S60" s="17"/>
      <c r="T60" s="17"/>
      <c r="U60" s="17"/>
      <c r="V60" s="22"/>
      <c r="W60" s="17"/>
      <c r="X60" s="22"/>
      <c r="Y60" s="22"/>
      <c r="Z60" s="17">
        <f>SUM(D60:Y60)</f>
        <v>25.741999999999997</v>
      </c>
      <c r="AA60" s="41">
        <f t="shared" si="14"/>
        <v>-8.658000000000001</v>
      </c>
    </row>
    <row r="61" spans="2:27" ht="15.75">
      <c r="B61" s="44" t="s">
        <v>24</v>
      </c>
      <c r="C61" s="45">
        <v>128.769</v>
      </c>
      <c r="D61" s="17"/>
      <c r="E61" s="17"/>
      <c r="F61" s="17">
        <v>27.9</v>
      </c>
      <c r="G61" s="17"/>
      <c r="H61" s="17">
        <v>5.8</v>
      </c>
      <c r="I61" s="17"/>
      <c r="J61" s="17">
        <v>0.44</v>
      </c>
      <c r="K61" s="17">
        <v>4.85</v>
      </c>
      <c r="L61" s="17"/>
      <c r="M61" s="17"/>
      <c r="N61" s="17"/>
      <c r="O61" s="17">
        <v>20.773</v>
      </c>
      <c r="P61" s="17"/>
      <c r="Q61" s="17"/>
      <c r="R61" s="17">
        <v>4.94</v>
      </c>
      <c r="S61" s="17"/>
      <c r="T61" s="17">
        <v>8</v>
      </c>
      <c r="U61" s="17"/>
      <c r="V61" s="17"/>
      <c r="W61" s="17"/>
      <c r="X61" s="17"/>
      <c r="Y61" s="17"/>
      <c r="Z61" s="17">
        <f>SUM(D61:Y61)</f>
        <v>72.70299999999999</v>
      </c>
      <c r="AA61" s="41">
        <f t="shared" si="14"/>
        <v>-56.06600000000002</v>
      </c>
    </row>
    <row r="62" spans="2:27" ht="43.5">
      <c r="B62" s="42" t="s">
        <v>48</v>
      </c>
      <c r="C62" s="43">
        <f>C63</f>
        <v>500</v>
      </c>
      <c r="D62" s="43">
        <f>D63</f>
        <v>0</v>
      </c>
      <c r="E62" s="43">
        <f aca="true" t="shared" si="17" ref="E62:X62">E63</f>
        <v>0</v>
      </c>
      <c r="F62" s="43">
        <f t="shared" si="17"/>
        <v>0</v>
      </c>
      <c r="G62" s="43">
        <f t="shared" si="17"/>
        <v>0</v>
      </c>
      <c r="H62" s="43">
        <f t="shared" si="17"/>
        <v>0</v>
      </c>
      <c r="I62" s="43">
        <f t="shared" si="17"/>
        <v>0</v>
      </c>
      <c r="J62" s="43">
        <f t="shared" si="17"/>
        <v>0</v>
      </c>
      <c r="K62" s="43">
        <f t="shared" si="17"/>
        <v>0</v>
      </c>
      <c r="L62" s="43">
        <f t="shared" si="17"/>
        <v>0</v>
      </c>
      <c r="M62" s="43">
        <f t="shared" si="17"/>
        <v>0</v>
      </c>
      <c r="N62" s="43">
        <f t="shared" si="17"/>
        <v>0</v>
      </c>
      <c r="O62" s="43">
        <f t="shared" si="17"/>
        <v>0</v>
      </c>
      <c r="P62" s="43">
        <f t="shared" si="17"/>
        <v>0</v>
      </c>
      <c r="Q62" s="43">
        <f t="shared" si="17"/>
        <v>0</v>
      </c>
      <c r="R62" s="43">
        <f t="shared" si="17"/>
        <v>0</v>
      </c>
      <c r="S62" s="43">
        <f t="shared" si="17"/>
        <v>0</v>
      </c>
      <c r="T62" s="43">
        <f t="shared" si="17"/>
        <v>0</v>
      </c>
      <c r="U62" s="43">
        <f t="shared" si="17"/>
        <v>500</v>
      </c>
      <c r="V62" s="43">
        <f t="shared" si="17"/>
        <v>0</v>
      </c>
      <c r="W62" s="43">
        <f t="shared" si="17"/>
        <v>0</v>
      </c>
      <c r="X62" s="43">
        <f t="shared" si="17"/>
        <v>0</v>
      </c>
      <c r="Y62" s="43">
        <f>Y63</f>
        <v>0</v>
      </c>
      <c r="Z62" s="43">
        <f>Z63</f>
        <v>500</v>
      </c>
      <c r="AA62" s="41">
        <f t="shared" si="14"/>
        <v>0</v>
      </c>
    </row>
    <row r="63" spans="2:27" ht="15.75">
      <c r="B63" s="44" t="s">
        <v>34</v>
      </c>
      <c r="C63" s="45">
        <v>500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>
        <v>500</v>
      </c>
      <c r="V63" s="17"/>
      <c r="W63" s="17"/>
      <c r="X63" s="17"/>
      <c r="Y63" s="17"/>
      <c r="Z63" s="22">
        <f>SUM(D63:Y63)</f>
        <v>500</v>
      </c>
      <c r="AA63" s="41">
        <f t="shared" si="14"/>
        <v>0</v>
      </c>
    </row>
    <row r="64" spans="2:27" ht="72">
      <c r="B64" s="42" t="s">
        <v>70</v>
      </c>
      <c r="C64" s="43">
        <f>C65</f>
        <v>400</v>
      </c>
      <c r="D64" s="43">
        <f aca="true" t="shared" si="18" ref="D64:W64">D65</f>
        <v>0</v>
      </c>
      <c r="E64" s="43">
        <f t="shared" si="18"/>
        <v>0</v>
      </c>
      <c r="F64" s="43">
        <f t="shared" si="18"/>
        <v>0</v>
      </c>
      <c r="G64" s="43">
        <f t="shared" si="18"/>
        <v>0</v>
      </c>
      <c r="H64" s="43">
        <f t="shared" si="18"/>
        <v>0</v>
      </c>
      <c r="I64" s="43">
        <f t="shared" si="18"/>
        <v>0</v>
      </c>
      <c r="J64" s="43">
        <f t="shared" si="18"/>
        <v>0</v>
      </c>
      <c r="K64" s="43">
        <f t="shared" si="18"/>
        <v>0</v>
      </c>
      <c r="L64" s="43">
        <f t="shared" si="18"/>
        <v>0</v>
      </c>
      <c r="M64" s="43">
        <f t="shared" si="18"/>
        <v>0</v>
      </c>
      <c r="N64" s="43">
        <f t="shared" si="18"/>
        <v>0</v>
      </c>
      <c r="O64" s="43">
        <f t="shared" si="18"/>
        <v>0</v>
      </c>
      <c r="P64" s="43">
        <f t="shared" si="18"/>
        <v>0</v>
      </c>
      <c r="Q64" s="43">
        <f t="shared" si="18"/>
        <v>0</v>
      </c>
      <c r="R64" s="43">
        <f t="shared" si="18"/>
        <v>0</v>
      </c>
      <c r="S64" s="43">
        <f t="shared" si="18"/>
        <v>0</v>
      </c>
      <c r="T64" s="43">
        <f t="shared" si="18"/>
        <v>0</v>
      </c>
      <c r="U64" s="43">
        <f t="shared" si="18"/>
        <v>400</v>
      </c>
      <c r="V64" s="43">
        <f t="shared" si="18"/>
        <v>0</v>
      </c>
      <c r="W64" s="43">
        <f t="shared" si="18"/>
        <v>0</v>
      </c>
      <c r="X64" s="43">
        <f>X65</f>
        <v>0</v>
      </c>
      <c r="Y64" s="43">
        <f>Y65</f>
        <v>0</v>
      </c>
      <c r="Z64" s="43">
        <f>Z65</f>
        <v>400</v>
      </c>
      <c r="AA64" s="41">
        <f t="shared" si="14"/>
        <v>0</v>
      </c>
    </row>
    <row r="65" spans="2:27" ht="15.75">
      <c r="B65" s="56" t="s">
        <v>34</v>
      </c>
      <c r="C65" s="70">
        <v>400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>
        <v>400</v>
      </c>
      <c r="V65" s="70"/>
      <c r="W65" s="70"/>
      <c r="X65" s="70">
        <f>X66+X67</f>
        <v>0</v>
      </c>
      <c r="Y65" s="70">
        <f>Y66+Y67</f>
        <v>0</v>
      </c>
      <c r="Z65" s="22">
        <f>SUM(D65:Y65)</f>
        <v>400</v>
      </c>
      <c r="AA65" s="41">
        <f t="shared" si="14"/>
        <v>0</v>
      </c>
    </row>
    <row r="66" spans="2:27" ht="15.75">
      <c r="B66" s="42" t="s">
        <v>49</v>
      </c>
      <c r="C66" s="43">
        <f>C67+C68</f>
        <v>2642.862</v>
      </c>
      <c r="D66" s="43">
        <f aca="true" t="shared" si="19" ref="D66:Z66">D67+D68</f>
        <v>0</v>
      </c>
      <c r="E66" s="43">
        <f t="shared" si="19"/>
        <v>182.736</v>
      </c>
      <c r="F66" s="43">
        <f t="shared" si="19"/>
        <v>705.9</v>
      </c>
      <c r="G66" s="43">
        <f t="shared" si="19"/>
        <v>0</v>
      </c>
      <c r="H66" s="43">
        <f t="shared" si="19"/>
        <v>0</v>
      </c>
      <c r="I66" s="43">
        <f t="shared" si="19"/>
        <v>0</v>
      </c>
      <c r="J66" s="43">
        <f t="shared" si="19"/>
        <v>0</v>
      </c>
      <c r="K66" s="43">
        <f t="shared" si="19"/>
        <v>45.218</v>
      </c>
      <c r="L66" s="43">
        <f t="shared" si="19"/>
        <v>0</v>
      </c>
      <c r="M66" s="43">
        <f t="shared" si="19"/>
        <v>27.69</v>
      </c>
      <c r="N66" s="43">
        <f t="shared" si="19"/>
        <v>0</v>
      </c>
      <c r="O66" s="43">
        <f t="shared" si="19"/>
        <v>17.281</v>
      </c>
      <c r="P66" s="43">
        <f t="shared" si="19"/>
        <v>617.6</v>
      </c>
      <c r="Q66" s="43">
        <f t="shared" si="19"/>
        <v>0</v>
      </c>
      <c r="R66" s="43">
        <f t="shared" si="19"/>
        <v>7.999</v>
      </c>
      <c r="S66" s="43">
        <f t="shared" si="19"/>
        <v>0</v>
      </c>
      <c r="T66" s="43">
        <f>T67+T68</f>
        <v>66.5</v>
      </c>
      <c r="U66" s="43">
        <f t="shared" si="19"/>
        <v>0</v>
      </c>
      <c r="V66" s="43">
        <f t="shared" si="19"/>
        <v>0</v>
      </c>
      <c r="W66" s="43">
        <f t="shared" si="19"/>
        <v>0</v>
      </c>
      <c r="X66" s="43">
        <f t="shared" si="19"/>
        <v>0</v>
      </c>
      <c r="Y66" s="43">
        <f>Y67+Y68</f>
        <v>0</v>
      </c>
      <c r="Z66" s="43">
        <f t="shared" si="19"/>
        <v>1670.924</v>
      </c>
      <c r="AA66" s="41">
        <f t="shared" si="14"/>
        <v>-971.9380000000001</v>
      </c>
    </row>
    <row r="67" spans="2:27" ht="15.75">
      <c r="B67" s="56" t="s">
        <v>50</v>
      </c>
      <c r="C67" s="34">
        <v>202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>
        <v>66.5</v>
      </c>
      <c r="U67" s="22"/>
      <c r="V67" s="22"/>
      <c r="W67" s="22"/>
      <c r="X67" s="22"/>
      <c r="Y67" s="22"/>
      <c r="Z67" s="22">
        <f>SUM(D67:Y67)</f>
        <v>66.5</v>
      </c>
      <c r="AA67" s="41">
        <f t="shared" si="14"/>
        <v>-135.5</v>
      </c>
    </row>
    <row r="68" spans="2:27" ht="15.75">
      <c r="B68" s="56" t="s">
        <v>34</v>
      </c>
      <c r="C68" s="34">
        <v>2440.862</v>
      </c>
      <c r="D68" s="22"/>
      <c r="E68" s="22">
        <v>182.736</v>
      </c>
      <c r="F68" s="22">
        <v>705.9</v>
      </c>
      <c r="G68" s="22"/>
      <c r="H68" s="22"/>
      <c r="I68" s="22"/>
      <c r="J68" s="22"/>
      <c r="K68" s="22">
        <v>45.218</v>
      </c>
      <c r="L68" s="22"/>
      <c r="M68" s="22">
        <v>27.69</v>
      </c>
      <c r="N68" s="22"/>
      <c r="O68" s="22">
        <v>17.281</v>
      </c>
      <c r="P68" s="22">
        <v>617.6</v>
      </c>
      <c r="Q68" s="22"/>
      <c r="R68" s="22">
        <v>7.999</v>
      </c>
      <c r="S68" s="22"/>
      <c r="T68" s="22"/>
      <c r="U68" s="22"/>
      <c r="V68" s="22"/>
      <c r="W68" s="22"/>
      <c r="X68" s="22"/>
      <c r="Y68" s="22"/>
      <c r="Z68" s="22">
        <f>SUM(D68:Y68)</f>
        <v>1604.424</v>
      </c>
      <c r="AA68" s="41">
        <f t="shared" si="14"/>
        <v>-836.4380000000001</v>
      </c>
    </row>
    <row r="69" spans="2:27" ht="15.75" hidden="1">
      <c r="B69" s="42" t="s">
        <v>51</v>
      </c>
      <c r="C69" s="43">
        <f>C70+C71</f>
        <v>0</v>
      </c>
      <c r="D69" s="43">
        <f aca="true" t="shared" si="20" ref="D69:Z69">D70+D71</f>
        <v>0</v>
      </c>
      <c r="E69" s="43">
        <f t="shared" si="20"/>
        <v>0</v>
      </c>
      <c r="F69" s="43">
        <f t="shared" si="20"/>
        <v>0</v>
      </c>
      <c r="G69" s="43">
        <f t="shared" si="20"/>
        <v>0</v>
      </c>
      <c r="H69" s="43">
        <f t="shared" si="20"/>
        <v>0</v>
      </c>
      <c r="I69" s="43">
        <f t="shared" si="20"/>
        <v>0</v>
      </c>
      <c r="J69" s="43">
        <f t="shared" si="20"/>
        <v>0</v>
      </c>
      <c r="K69" s="43">
        <f t="shared" si="20"/>
        <v>0</v>
      </c>
      <c r="L69" s="43">
        <f t="shared" si="20"/>
        <v>0</v>
      </c>
      <c r="M69" s="43">
        <f t="shared" si="20"/>
        <v>0</v>
      </c>
      <c r="N69" s="43">
        <f t="shared" si="20"/>
        <v>0</v>
      </c>
      <c r="O69" s="43">
        <f t="shared" si="20"/>
        <v>0</v>
      </c>
      <c r="P69" s="43">
        <f t="shared" si="20"/>
        <v>0</v>
      </c>
      <c r="Q69" s="43">
        <f t="shared" si="20"/>
        <v>0</v>
      </c>
      <c r="R69" s="43">
        <f t="shared" si="20"/>
        <v>0</v>
      </c>
      <c r="S69" s="43">
        <f t="shared" si="20"/>
        <v>0</v>
      </c>
      <c r="T69" s="43">
        <f t="shared" si="20"/>
        <v>0</v>
      </c>
      <c r="U69" s="43">
        <f t="shared" si="20"/>
        <v>0</v>
      </c>
      <c r="V69" s="43">
        <f t="shared" si="20"/>
        <v>0</v>
      </c>
      <c r="W69" s="43">
        <f t="shared" si="20"/>
        <v>0</v>
      </c>
      <c r="X69" s="43">
        <f t="shared" si="20"/>
        <v>0</v>
      </c>
      <c r="Y69" s="43">
        <f t="shared" si="20"/>
        <v>0</v>
      </c>
      <c r="Z69" s="43">
        <f t="shared" si="20"/>
        <v>0</v>
      </c>
      <c r="AA69" s="41">
        <f t="shared" si="14"/>
        <v>0</v>
      </c>
    </row>
    <row r="70" spans="2:27" ht="15.75" hidden="1">
      <c r="B70" s="44" t="s">
        <v>22</v>
      </c>
      <c r="C70" s="3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>
        <f>SUM(D70:Y70)</f>
        <v>0</v>
      </c>
      <c r="AA70" s="41">
        <f t="shared" si="14"/>
        <v>0</v>
      </c>
    </row>
    <row r="71" spans="2:27" ht="15.75" hidden="1">
      <c r="B71" s="44" t="s">
        <v>34</v>
      </c>
      <c r="C71" s="34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>
        <f>SUM(D71:Y71)</f>
        <v>0</v>
      </c>
      <c r="AA71" s="41">
        <f t="shared" si="14"/>
        <v>0</v>
      </c>
    </row>
    <row r="72" spans="2:2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>
        <f>SUM(D72:Y72)</f>
        <v>0</v>
      </c>
      <c r="AA72" s="41">
        <f t="shared" si="14"/>
        <v>0</v>
      </c>
    </row>
    <row r="73" spans="1:28" ht="15.75" hidden="1">
      <c r="A73" s="1">
        <v>170703</v>
      </c>
      <c r="B73" s="42" t="s">
        <v>53</v>
      </c>
      <c r="C73" s="43">
        <f>C74</f>
        <v>0</v>
      </c>
      <c r="D73" s="43">
        <f aca="true" t="shared" si="21" ref="D73:Z73">D74</f>
        <v>0</v>
      </c>
      <c r="E73" s="43">
        <f t="shared" si="21"/>
        <v>0</v>
      </c>
      <c r="F73" s="43">
        <f t="shared" si="21"/>
        <v>0</v>
      </c>
      <c r="G73" s="43">
        <f t="shared" si="21"/>
        <v>0</v>
      </c>
      <c r="H73" s="43">
        <f t="shared" si="21"/>
        <v>0</v>
      </c>
      <c r="I73" s="43">
        <f t="shared" si="21"/>
        <v>0</v>
      </c>
      <c r="J73" s="43">
        <f t="shared" si="21"/>
        <v>0</v>
      </c>
      <c r="K73" s="43">
        <f t="shared" si="21"/>
        <v>0</v>
      </c>
      <c r="L73" s="43">
        <f t="shared" si="21"/>
        <v>0</v>
      </c>
      <c r="M73" s="43">
        <f t="shared" si="21"/>
        <v>0</v>
      </c>
      <c r="N73" s="43">
        <f t="shared" si="21"/>
        <v>0</v>
      </c>
      <c r="O73" s="43">
        <f t="shared" si="21"/>
        <v>0</v>
      </c>
      <c r="P73" s="43">
        <f t="shared" si="21"/>
        <v>0</v>
      </c>
      <c r="Q73" s="43">
        <f t="shared" si="21"/>
        <v>0</v>
      </c>
      <c r="R73" s="43">
        <f t="shared" si="21"/>
        <v>0</v>
      </c>
      <c r="S73" s="43">
        <f t="shared" si="21"/>
        <v>0</v>
      </c>
      <c r="T73" s="43">
        <f t="shared" si="21"/>
        <v>0</v>
      </c>
      <c r="U73" s="43">
        <f t="shared" si="21"/>
        <v>0</v>
      </c>
      <c r="V73" s="43">
        <f t="shared" si="21"/>
        <v>0</v>
      </c>
      <c r="W73" s="43">
        <f t="shared" si="21"/>
        <v>0</v>
      </c>
      <c r="X73" s="43">
        <f t="shared" si="21"/>
        <v>0</v>
      </c>
      <c r="Y73" s="43">
        <f t="shared" si="21"/>
        <v>0</v>
      </c>
      <c r="Z73" s="43">
        <f t="shared" si="21"/>
        <v>0</v>
      </c>
      <c r="AA73" s="41">
        <f t="shared" si="14"/>
        <v>0</v>
      </c>
      <c r="AB73" s="26"/>
    </row>
    <row r="74" spans="2:39" s="26" customFormat="1" ht="15.75" hidden="1">
      <c r="B74" s="56" t="s">
        <v>50</v>
      </c>
      <c r="C74" s="34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>
        <f aca="true" t="shared" si="22" ref="Z74:Z84">SUM(D74:Y74)</f>
        <v>0</v>
      </c>
      <c r="AA74" s="41">
        <f t="shared" si="14"/>
        <v>0</v>
      </c>
      <c r="AC74" s="52"/>
      <c r="AD74" s="52"/>
      <c r="AE74" s="52"/>
      <c r="AF74" s="33"/>
      <c r="AG74" s="33"/>
      <c r="AH74" s="33"/>
      <c r="AI74" s="33"/>
      <c r="AJ74" s="33"/>
      <c r="AK74" s="33"/>
      <c r="AL74" s="33"/>
      <c r="AM74" s="33"/>
    </row>
    <row r="75" spans="2:39" s="26" customFormat="1" ht="28.5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>
        <f t="shared" si="22"/>
        <v>0</v>
      </c>
      <c r="AA75" s="41">
        <f t="shared" si="14"/>
        <v>0</v>
      </c>
      <c r="AC75" s="52"/>
      <c r="AD75" s="52"/>
      <c r="AE75" s="52"/>
      <c r="AF75" s="33"/>
      <c r="AG75" s="33"/>
      <c r="AH75" s="33"/>
      <c r="AI75" s="33"/>
      <c r="AJ75" s="33"/>
      <c r="AK75" s="33"/>
      <c r="AL75" s="33"/>
      <c r="AM75" s="33"/>
    </row>
    <row r="76" spans="2:39" s="26" customFormat="1" ht="15.75">
      <c r="B76" s="57" t="s">
        <v>55</v>
      </c>
      <c r="C76" s="43">
        <v>44.4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>
        <f t="shared" si="22"/>
        <v>0</v>
      </c>
      <c r="AA76" s="41">
        <f t="shared" si="14"/>
        <v>-44.4</v>
      </c>
      <c r="AC76" s="52"/>
      <c r="AD76" s="52"/>
      <c r="AE76" s="52"/>
      <c r="AF76" s="33"/>
      <c r="AG76" s="33"/>
      <c r="AH76" s="33"/>
      <c r="AI76" s="33"/>
      <c r="AJ76" s="33"/>
      <c r="AK76" s="33"/>
      <c r="AL76" s="33"/>
      <c r="AM76" s="33"/>
    </row>
    <row r="77" spans="2:39" s="26" customFormat="1" ht="28.5">
      <c r="B77" s="57" t="s">
        <v>56</v>
      </c>
      <c r="C77" s="43">
        <v>48.085</v>
      </c>
      <c r="D77" s="43"/>
      <c r="E77" s="43">
        <v>27.633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>
        <f t="shared" si="22"/>
        <v>27.633</v>
      </c>
      <c r="AA77" s="41">
        <f t="shared" si="14"/>
        <v>-20.452</v>
      </c>
      <c r="AC77" s="52"/>
      <c r="AD77" s="52"/>
      <c r="AE77" s="52"/>
      <c r="AF77" s="33"/>
      <c r="AG77" s="33"/>
      <c r="AH77" s="33"/>
      <c r="AI77" s="33"/>
      <c r="AJ77" s="33"/>
      <c r="AK77" s="33"/>
      <c r="AL77" s="33"/>
      <c r="AM77" s="33"/>
    </row>
    <row r="78" spans="2:39" s="26" customFormat="1" ht="15.75">
      <c r="B78" s="57" t="s">
        <v>65</v>
      </c>
      <c r="C78" s="43">
        <v>231.335</v>
      </c>
      <c r="D78" s="43"/>
      <c r="E78" s="43"/>
      <c r="F78" s="43"/>
      <c r="G78" s="43"/>
      <c r="H78" s="43"/>
      <c r="I78" s="43"/>
      <c r="J78" s="43">
        <v>49.9</v>
      </c>
      <c r="K78" s="43"/>
      <c r="L78" s="43"/>
      <c r="M78" s="43">
        <v>7.769</v>
      </c>
      <c r="N78" s="43"/>
      <c r="O78" s="43"/>
      <c r="P78" s="43"/>
      <c r="Q78" s="43"/>
      <c r="R78" s="43">
        <v>0.459</v>
      </c>
      <c r="S78" s="43"/>
      <c r="T78" s="43">
        <v>86.7</v>
      </c>
      <c r="U78" s="43"/>
      <c r="V78" s="43"/>
      <c r="W78" s="43"/>
      <c r="X78" s="43"/>
      <c r="Y78" s="43"/>
      <c r="Z78" s="43">
        <f t="shared" si="22"/>
        <v>144.828</v>
      </c>
      <c r="AA78" s="41">
        <f t="shared" si="14"/>
        <v>-86.507</v>
      </c>
      <c r="AC78" s="52"/>
      <c r="AD78" s="52"/>
      <c r="AE78" s="52"/>
      <c r="AF78" s="33"/>
      <c r="AG78" s="33"/>
      <c r="AH78" s="33"/>
      <c r="AI78" s="33"/>
      <c r="AJ78" s="33"/>
      <c r="AK78" s="33"/>
      <c r="AL78" s="33"/>
      <c r="AM78" s="33"/>
    </row>
    <row r="79" spans="2:39" s="26" customFormat="1" ht="15.75" hidden="1">
      <c r="B79" s="57" t="s">
        <v>57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>
        <f t="shared" si="22"/>
        <v>0</v>
      </c>
      <c r="AA79" s="41">
        <f t="shared" si="14"/>
        <v>0</v>
      </c>
      <c r="AC79" s="52"/>
      <c r="AD79" s="52"/>
      <c r="AE79" s="52"/>
      <c r="AF79" s="33"/>
      <c r="AG79" s="33"/>
      <c r="AH79" s="33"/>
      <c r="AI79" s="33"/>
      <c r="AJ79" s="33"/>
      <c r="AK79" s="33"/>
      <c r="AL79" s="33"/>
      <c r="AM79" s="33"/>
    </row>
    <row r="80" spans="1:39" s="1" customFormat="1" ht="15.75">
      <c r="A80" s="1">
        <v>250102</v>
      </c>
      <c r="B80" s="42" t="s">
        <v>58</v>
      </c>
      <c r="C80" s="43">
        <v>130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>
        <f t="shared" si="22"/>
        <v>0</v>
      </c>
      <c r="AA80" s="41">
        <f t="shared" si="14"/>
        <v>-130</v>
      </c>
      <c r="AC80" s="3"/>
      <c r="AD80" s="3"/>
      <c r="AE80" s="3"/>
      <c r="AF80" s="4"/>
      <c r="AG80" s="4"/>
      <c r="AH80" s="4"/>
      <c r="AI80" s="4"/>
      <c r="AJ80" s="4"/>
      <c r="AK80" s="4"/>
      <c r="AL80" s="4"/>
      <c r="AM80" s="4"/>
    </row>
    <row r="81" spans="2:3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>
        <f t="shared" si="22"/>
        <v>0</v>
      </c>
      <c r="AA81" s="41">
        <f t="shared" si="14"/>
        <v>0</v>
      </c>
      <c r="AC81" s="3"/>
      <c r="AD81" s="3"/>
      <c r="AE81" s="3"/>
      <c r="AF81" s="4"/>
      <c r="AG81" s="4"/>
      <c r="AH81" s="4"/>
      <c r="AI81" s="4"/>
      <c r="AJ81" s="4"/>
      <c r="AK81" s="4"/>
      <c r="AL81" s="4"/>
      <c r="AM81" s="4"/>
    </row>
    <row r="82" spans="2:39" s="1" customFormat="1" ht="71.25" customHeight="1" hidden="1">
      <c r="B82" s="42" t="s">
        <v>60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>
        <f t="shared" si="22"/>
        <v>0</v>
      </c>
      <c r="AA82" s="41">
        <f t="shared" si="14"/>
        <v>0</v>
      </c>
      <c r="AC82" s="3"/>
      <c r="AD82" s="3"/>
      <c r="AE82" s="3"/>
      <c r="AF82" s="4"/>
      <c r="AG82" s="4"/>
      <c r="AH82" s="4"/>
      <c r="AI82" s="4"/>
      <c r="AJ82" s="4"/>
      <c r="AK82" s="4"/>
      <c r="AL82" s="4"/>
      <c r="AM82" s="4"/>
    </row>
    <row r="83" spans="2:39" s="1" customFormat="1" ht="57.75" hidden="1">
      <c r="B83" s="42" t="s">
        <v>61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>
        <f t="shared" si="22"/>
        <v>0</v>
      </c>
      <c r="AA83" s="41">
        <f t="shared" si="14"/>
        <v>0</v>
      </c>
      <c r="AC83" s="3"/>
      <c r="AD83" s="3"/>
      <c r="AE83" s="3"/>
      <c r="AF83" s="4"/>
      <c r="AG83" s="4"/>
      <c r="AH83" s="4"/>
      <c r="AI83" s="4"/>
      <c r="AJ83" s="4"/>
      <c r="AK83" s="4"/>
      <c r="AL83" s="4"/>
      <c r="AM83" s="4"/>
    </row>
    <row r="84" spans="2:39" s="1" customFormat="1" ht="43.5">
      <c r="B84" s="42" t="s">
        <v>62</v>
      </c>
      <c r="C84" s="43"/>
      <c r="D84" s="43"/>
      <c r="E84" s="43"/>
      <c r="F84" s="43"/>
      <c r="G84" s="43"/>
      <c r="H84" s="43"/>
      <c r="I84" s="43"/>
      <c r="J84" s="43">
        <v>898.117</v>
      </c>
      <c r="K84" s="43"/>
      <c r="L84" s="43"/>
      <c r="M84" s="43"/>
      <c r="N84" s="43"/>
      <c r="O84" s="43">
        <v>169.995</v>
      </c>
      <c r="P84" s="43"/>
      <c r="Q84" s="43"/>
      <c r="R84" s="43">
        <v>117.15</v>
      </c>
      <c r="S84" s="43"/>
      <c r="T84" s="43"/>
      <c r="U84" s="43"/>
      <c r="V84" s="43"/>
      <c r="W84" s="43"/>
      <c r="X84" s="43"/>
      <c r="Y84" s="43"/>
      <c r="Z84" s="43">
        <f t="shared" si="22"/>
        <v>1185.2620000000002</v>
      </c>
      <c r="AA84" s="41">
        <f aca="true" t="shared" si="23" ref="AA84:AA92">Z84-C84</f>
        <v>1185.2620000000002</v>
      </c>
      <c r="AC84" s="3"/>
      <c r="AD84" s="3"/>
      <c r="AE84" s="3"/>
      <c r="AF84" s="4"/>
      <c r="AG84" s="4"/>
      <c r="AH84" s="4"/>
      <c r="AI84" s="4"/>
      <c r="AJ84" s="4"/>
      <c r="AK84" s="4"/>
      <c r="AL84" s="4"/>
      <c r="AM84" s="4"/>
    </row>
    <row r="85" spans="2:39" s="1" customFormat="1" ht="15.75">
      <c r="B85" s="58" t="s">
        <v>63</v>
      </c>
      <c r="C85" s="59">
        <f>SUM(C86:C92)</f>
        <v>29415.714</v>
      </c>
      <c r="D85" s="59">
        <f aca="true" t="shared" si="24" ref="D85:Z85">SUM(D86:D92)</f>
        <v>0</v>
      </c>
      <c r="E85" s="59">
        <f t="shared" si="24"/>
        <v>390.49199999999996</v>
      </c>
      <c r="F85" s="59">
        <f t="shared" si="24"/>
        <v>1100.4969999999998</v>
      </c>
      <c r="G85" s="59">
        <f t="shared" si="24"/>
        <v>0</v>
      </c>
      <c r="H85" s="59">
        <f t="shared" si="24"/>
        <v>330.90000000000003</v>
      </c>
      <c r="I85" s="59">
        <f t="shared" si="24"/>
        <v>0</v>
      </c>
      <c r="J85" s="59">
        <f t="shared" si="24"/>
        <v>4139.132</v>
      </c>
      <c r="K85" s="59">
        <f t="shared" si="24"/>
        <v>2997.1009999999997</v>
      </c>
      <c r="L85" s="59">
        <f t="shared" si="24"/>
        <v>0</v>
      </c>
      <c r="M85" s="59">
        <f t="shared" si="24"/>
        <v>590.466</v>
      </c>
      <c r="N85" s="59">
        <f t="shared" si="24"/>
        <v>0</v>
      </c>
      <c r="O85" s="59">
        <f t="shared" si="24"/>
        <v>1052.5140000000001</v>
      </c>
      <c r="P85" s="59">
        <f t="shared" si="24"/>
        <v>1031.005</v>
      </c>
      <c r="Q85" s="59">
        <f t="shared" si="24"/>
        <v>0</v>
      </c>
      <c r="R85" s="59">
        <f t="shared" si="24"/>
        <v>2111.031</v>
      </c>
      <c r="S85" s="59">
        <f t="shared" si="24"/>
        <v>0</v>
      </c>
      <c r="T85" s="59">
        <f>SUM(T86:T92)</f>
        <v>4983.3</v>
      </c>
      <c r="U85" s="59">
        <f t="shared" si="24"/>
        <v>900</v>
      </c>
      <c r="V85" s="59">
        <f t="shared" si="24"/>
        <v>-9.12</v>
      </c>
      <c r="W85" s="59">
        <f t="shared" si="24"/>
        <v>0</v>
      </c>
      <c r="X85" s="59">
        <f t="shared" si="24"/>
        <v>0</v>
      </c>
      <c r="Y85" s="59">
        <f t="shared" si="24"/>
        <v>0</v>
      </c>
      <c r="Z85" s="59">
        <f t="shared" si="24"/>
        <v>19617.318</v>
      </c>
      <c r="AA85" s="41">
        <f t="shared" si="23"/>
        <v>-9798.396</v>
      </c>
      <c r="AB85" s="5"/>
      <c r="AC85" s="3"/>
      <c r="AD85" s="3"/>
      <c r="AE85" s="3"/>
      <c r="AF85" s="4"/>
      <c r="AG85" s="4"/>
      <c r="AH85" s="4"/>
      <c r="AI85" s="4"/>
      <c r="AJ85" s="4"/>
      <c r="AK85" s="4"/>
      <c r="AL85" s="4"/>
      <c r="AM85" s="4"/>
    </row>
    <row r="86" spans="1:39" s="8" customFormat="1" ht="15.75">
      <c r="A86" s="5"/>
      <c r="B86" s="44" t="s">
        <v>20</v>
      </c>
      <c r="C86" s="45">
        <f>C20+C37+C42+C46+C50+C53+C57+C24</f>
        <v>15366.296999999999</v>
      </c>
      <c r="D86" s="45">
        <f aca="true" t="shared" si="25" ref="D86:W86">D20+D37+D42+D46+D50+D53+D57+D24</f>
        <v>0</v>
      </c>
      <c r="E86" s="45">
        <f t="shared" si="25"/>
        <v>26.454</v>
      </c>
      <c r="F86" s="45">
        <f t="shared" si="25"/>
        <v>28.537999999999997</v>
      </c>
      <c r="G86" s="45">
        <f t="shared" si="25"/>
        <v>0</v>
      </c>
      <c r="H86" s="45">
        <f t="shared" si="25"/>
        <v>123.786</v>
      </c>
      <c r="I86" s="45">
        <f t="shared" si="25"/>
        <v>0</v>
      </c>
      <c r="J86" s="45">
        <f t="shared" si="25"/>
        <v>2884.633</v>
      </c>
      <c r="K86" s="45">
        <f t="shared" si="25"/>
        <v>2741.4719999999998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0.837</v>
      </c>
      <c r="Q86" s="45">
        <f t="shared" si="25"/>
        <v>0</v>
      </c>
      <c r="R86" s="45">
        <f t="shared" si="25"/>
        <v>1812.2540000000001</v>
      </c>
      <c r="S86" s="45">
        <f t="shared" si="25"/>
        <v>0</v>
      </c>
      <c r="T86" s="45">
        <f t="shared" si="25"/>
        <v>4384.6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>X20+X37+X42+X46+X50+X53+X57+X24</f>
        <v>0</v>
      </c>
      <c r="Y86" s="45">
        <f>Y20+Y37+Y42+Y46+Y50+Y53+Y57+Y24</f>
        <v>0</v>
      </c>
      <c r="Z86" s="45">
        <f>Z20+Z37+Z42+Z46+Z50+Z53+Z57+Z24</f>
        <v>12002.574</v>
      </c>
      <c r="AA86" s="41">
        <f t="shared" si="23"/>
        <v>-3363.722999999998</v>
      </c>
      <c r="AB86" s="5"/>
      <c r="AF86" s="9"/>
      <c r="AG86" s="9"/>
      <c r="AH86" s="9"/>
      <c r="AI86" s="9"/>
      <c r="AJ86" s="9"/>
      <c r="AK86" s="9"/>
      <c r="AL86" s="9"/>
      <c r="AM86" s="9"/>
    </row>
    <row r="87" spans="1:39" s="8" customFormat="1" ht="15.75">
      <c r="A87" s="5"/>
      <c r="B87" s="44" t="s">
        <v>28</v>
      </c>
      <c r="C87" s="45">
        <f>C25+C38+C58</f>
        <v>17.400000000000002</v>
      </c>
      <c r="D87" s="45">
        <f aca="true" t="shared" si="26" ref="D87:W87">D25+D38+D58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0.431</v>
      </c>
      <c r="K87" s="45">
        <f t="shared" si="26"/>
        <v>3.586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</v>
      </c>
      <c r="P87" s="45">
        <f t="shared" si="26"/>
        <v>0</v>
      </c>
      <c r="Q87" s="45">
        <f t="shared" si="26"/>
        <v>0</v>
      </c>
      <c r="R87" s="45">
        <f t="shared" si="26"/>
        <v>0</v>
      </c>
      <c r="S87" s="45">
        <f t="shared" si="26"/>
        <v>0</v>
      </c>
      <c r="T87" s="45">
        <f t="shared" si="26"/>
        <v>1.7</v>
      </c>
      <c r="U87" s="45">
        <f t="shared" si="26"/>
        <v>0</v>
      </c>
      <c r="V87" s="45">
        <f t="shared" si="26"/>
        <v>0</v>
      </c>
      <c r="W87" s="45">
        <f t="shared" si="26"/>
        <v>0</v>
      </c>
      <c r="X87" s="45">
        <f>X25+X38+X58</f>
        <v>0</v>
      </c>
      <c r="Y87" s="45">
        <f>Y25+Y38+Y58</f>
        <v>0</v>
      </c>
      <c r="Z87" s="45">
        <f>Z25+Z38+Z58</f>
        <v>5.717</v>
      </c>
      <c r="AA87" s="41">
        <f t="shared" si="23"/>
        <v>-11.683000000000003</v>
      </c>
      <c r="AB87" s="5"/>
      <c r="AF87" s="9"/>
      <c r="AG87" s="9"/>
      <c r="AH87" s="9"/>
      <c r="AI87" s="9"/>
      <c r="AJ87" s="9"/>
      <c r="AK87" s="9"/>
      <c r="AL87" s="9"/>
      <c r="AM87" s="9"/>
    </row>
    <row r="88" spans="1:39" s="8" customFormat="1" ht="15.75">
      <c r="A88" s="5"/>
      <c r="B88" s="44" t="s">
        <v>30</v>
      </c>
      <c r="C88" s="45">
        <f>C26</f>
        <v>848.734</v>
      </c>
      <c r="D88" s="45">
        <f aca="true" t="shared" si="27" ref="D88:W88">D26</f>
        <v>0</v>
      </c>
      <c r="E88" s="45">
        <f t="shared" si="27"/>
        <v>0</v>
      </c>
      <c r="F88" s="45">
        <f t="shared" si="27"/>
        <v>39.338</v>
      </c>
      <c r="G88" s="45">
        <f t="shared" si="27"/>
        <v>0</v>
      </c>
      <c r="H88" s="45">
        <f t="shared" si="27"/>
        <v>37.167</v>
      </c>
      <c r="I88" s="45">
        <f t="shared" si="27"/>
        <v>0</v>
      </c>
      <c r="J88" s="45">
        <f t="shared" si="27"/>
        <v>31.654</v>
      </c>
      <c r="K88" s="45">
        <f t="shared" si="27"/>
        <v>60.569</v>
      </c>
      <c r="L88" s="45">
        <f t="shared" si="27"/>
        <v>0</v>
      </c>
      <c r="M88" s="45">
        <f t="shared" si="27"/>
        <v>10.395</v>
      </c>
      <c r="N88" s="45">
        <f t="shared" si="27"/>
        <v>0</v>
      </c>
      <c r="O88" s="45">
        <f t="shared" si="27"/>
        <v>21.548</v>
      </c>
      <c r="P88" s="45">
        <f t="shared" si="27"/>
        <v>17.329</v>
      </c>
      <c r="Q88" s="45">
        <f t="shared" si="27"/>
        <v>0</v>
      </c>
      <c r="R88" s="45">
        <f t="shared" si="27"/>
        <v>46.935</v>
      </c>
      <c r="S88" s="45">
        <f t="shared" si="27"/>
        <v>0</v>
      </c>
      <c r="T88" s="45">
        <f t="shared" si="27"/>
        <v>65.1</v>
      </c>
      <c r="U88" s="45">
        <f t="shared" si="27"/>
        <v>0</v>
      </c>
      <c r="V88" s="45">
        <f t="shared" si="27"/>
        <v>-6.374</v>
      </c>
      <c r="W88" s="45">
        <f t="shared" si="27"/>
        <v>0</v>
      </c>
      <c r="X88" s="45">
        <f>X26</f>
        <v>0</v>
      </c>
      <c r="Y88" s="45">
        <f>Y26</f>
        <v>0</v>
      </c>
      <c r="Z88" s="45">
        <f>Z26</f>
        <v>323.66100000000006</v>
      </c>
      <c r="AA88" s="41">
        <f t="shared" si="23"/>
        <v>-525.073</v>
      </c>
      <c r="AB88" s="5"/>
      <c r="AF88" s="9"/>
      <c r="AG88" s="9"/>
      <c r="AH88" s="9"/>
      <c r="AI88" s="9"/>
      <c r="AJ88" s="9"/>
      <c r="AK88" s="9"/>
      <c r="AL88" s="9"/>
      <c r="AM88" s="9"/>
    </row>
    <row r="89" spans="1:39" s="8" customFormat="1" ht="15.75">
      <c r="A89" s="5"/>
      <c r="B89" s="44" t="s">
        <v>22</v>
      </c>
      <c r="C89" s="45">
        <f>C21+C27+C39+C43+C47+C54+C59+C70</f>
        <v>6263.093</v>
      </c>
      <c r="D89" s="45">
        <f aca="true" t="shared" si="28" ref="D89:W89">D21+D27+D39+D43+D47+D54+D59+D70</f>
        <v>0</v>
      </c>
      <c r="E89" s="45">
        <f t="shared" si="28"/>
        <v>0</v>
      </c>
      <c r="F89" s="45">
        <f t="shared" si="28"/>
        <v>212.74999999999997</v>
      </c>
      <c r="G89" s="45">
        <f t="shared" si="28"/>
        <v>0</v>
      </c>
      <c r="H89" s="45">
        <f t="shared" si="28"/>
        <v>55.556</v>
      </c>
      <c r="I89" s="45">
        <f t="shared" si="28"/>
        <v>0</v>
      </c>
      <c r="J89" s="45">
        <f t="shared" si="28"/>
        <v>57.855000000000004</v>
      </c>
      <c r="K89" s="45">
        <f t="shared" si="28"/>
        <v>84.063</v>
      </c>
      <c r="L89" s="45">
        <f t="shared" si="28"/>
        <v>0</v>
      </c>
      <c r="M89" s="45">
        <f t="shared" si="28"/>
        <v>128.005</v>
      </c>
      <c r="N89" s="45">
        <f t="shared" si="28"/>
        <v>0</v>
      </c>
      <c r="O89" s="45">
        <f t="shared" si="28"/>
        <v>661.816</v>
      </c>
      <c r="P89" s="45">
        <f t="shared" si="28"/>
        <v>380.064</v>
      </c>
      <c r="Q89" s="45">
        <f t="shared" si="28"/>
        <v>0</v>
      </c>
      <c r="R89" s="45">
        <f t="shared" si="28"/>
        <v>53.377</v>
      </c>
      <c r="S89" s="45">
        <f t="shared" si="28"/>
        <v>0</v>
      </c>
      <c r="T89" s="45">
        <f t="shared" si="28"/>
        <v>296.2</v>
      </c>
      <c r="U89" s="45">
        <f t="shared" si="28"/>
        <v>0</v>
      </c>
      <c r="V89" s="45">
        <f t="shared" si="28"/>
        <v>-2.746</v>
      </c>
      <c r="W89" s="45">
        <f t="shared" si="28"/>
        <v>0</v>
      </c>
      <c r="X89" s="45">
        <f>X21+X27+X39+X43+X47+X54+X59+X70</f>
        <v>0</v>
      </c>
      <c r="Y89" s="45">
        <f>Y21+Y27+Y39+Y43+Y47+Y54+Y59+Y70</f>
        <v>0</v>
      </c>
      <c r="Z89" s="45">
        <f>Z21+Z27+Z39+Z43+Z47+Z54+Z59+Z70</f>
        <v>1926.94</v>
      </c>
      <c r="AA89" s="41">
        <f t="shared" si="23"/>
        <v>-4336.153</v>
      </c>
      <c r="AB89" s="5"/>
      <c r="AF89" s="9"/>
      <c r="AG89" s="9"/>
      <c r="AH89" s="9"/>
      <c r="AI89" s="9"/>
      <c r="AJ89" s="9"/>
      <c r="AK89" s="9"/>
      <c r="AL89" s="9"/>
      <c r="AM89" s="9"/>
    </row>
    <row r="90" spans="1:39" s="8" customFormat="1" ht="15.75">
      <c r="A90" s="5"/>
      <c r="B90" s="44" t="s">
        <v>46</v>
      </c>
      <c r="C90" s="45">
        <f>C76</f>
        <v>44.4</v>
      </c>
      <c r="D90" s="45">
        <f aca="true" t="shared" si="29" ref="D90:W90">D76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</v>
      </c>
      <c r="K90" s="45">
        <f t="shared" si="29"/>
        <v>0</v>
      </c>
      <c r="L90" s="45">
        <f t="shared" si="29"/>
        <v>0</v>
      </c>
      <c r="M90" s="45">
        <f t="shared" si="29"/>
        <v>0</v>
      </c>
      <c r="N90" s="45">
        <f t="shared" si="29"/>
        <v>0</v>
      </c>
      <c r="O90" s="45">
        <f t="shared" si="29"/>
        <v>0</v>
      </c>
      <c r="P90" s="45">
        <f t="shared" si="29"/>
        <v>0</v>
      </c>
      <c r="Q90" s="45">
        <f t="shared" si="29"/>
        <v>0</v>
      </c>
      <c r="R90" s="45">
        <f t="shared" si="29"/>
        <v>0</v>
      </c>
      <c r="S90" s="45">
        <f t="shared" si="29"/>
        <v>0</v>
      </c>
      <c r="T90" s="45">
        <f t="shared" si="29"/>
        <v>0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>X76</f>
        <v>0</v>
      </c>
      <c r="Y90" s="45">
        <f>Y76</f>
        <v>0</v>
      </c>
      <c r="Z90" s="45">
        <f>Z76</f>
        <v>0</v>
      </c>
      <c r="AA90" s="41">
        <f t="shared" si="23"/>
        <v>-44.4</v>
      </c>
      <c r="AB90" s="5"/>
      <c r="AF90" s="9"/>
      <c r="AG90" s="9"/>
      <c r="AH90" s="9"/>
      <c r="AI90" s="9"/>
      <c r="AJ90" s="9"/>
      <c r="AK90" s="9"/>
      <c r="AL90" s="9"/>
      <c r="AM90" s="9"/>
    </row>
    <row r="91" spans="1:39" s="8" customFormat="1" ht="15.75">
      <c r="A91" s="5"/>
      <c r="B91" s="44" t="s">
        <v>34</v>
      </c>
      <c r="C91" s="45">
        <f>C30+C51+C60+C68+C31+C71+C81+C82+C83+C63+C78+C65</f>
        <v>3985.839</v>
      </c>
      <c r="D91" s="45">
        <f aca="true" t="shared" si="30" ref="D91:Z91">D30+D51+D60+D68+D31+D71+D81+D82+D83+D63+D78+D65</f>
        <v>0</v>
      </c>
      <c r="E91" s="45">
        <f t="shared" si="30"/>
        <v>182.736</v>
      </c>
      <c r="F91" s="45">
        <f t="shared" si="30"/>
        <v>723.818</v>
      </c>
      <c r="G91" s="45">
        <f t="shared" si="30"/>
        <v>0</v>
      </c>
      <c r="H91" s="45">
        <f t="shared" si="30"/>
        <v>74.11500000000001</v>
      </c>
      <c r="I91" s="45">
        <f t="shared" si="30"/>
        <v>0</v>
      </c>
      <c r="J91" s="45">
        <f t="shared" si="30"/>
        <v>49.9</v>
      </c>
      <c r="K91" s="45">
        <f t="shared" si="30"/>
        <v>45.218</v>
      </c>
      <c r="L91" s="45">
        <f t="shared" si="30"/>
        <v>0</v>
      </c>
      <c r="M91" s="45">
        <f t="shared" si="30"/>
        <v>69.596</v>
      </c>
      <c r="N91" s="45">
        <f t="shared" si="30"/>
        <v>0</v>
      </c>
      <c r="O91" s="45">
        <f t="shared" si="30"/>
        <v>37.232</v>
      </c>
      <c r="P91" s="45">
        <f t="shared" si="30"/>
        <v>617.6</v>
      </c>
      <c r="Q91" s="45">
        <f t="shared" si="30"/>
        <v>0</v>
      </c>
      <c r="R91" s="45">
        <f t="shared" si="30"/>
        <v>29.110999999999997</v>
      </c>
      <c r="S91" s="45">
        <f t="shared" si="30"/>
        <v>0</v>
      </c>
      <c r="T91" s="45">
        <f t="shared" si="30"/>
        <v>86.7</v>
      </c>
      <c r="U91" s="45">
        <f t="shared" si="30"/>
        <v>900</v>
      </c>
      <c r="V91" s="45">
        <f t="shared" si="30"/>
        <v>0</v>
      </c>
      <c r="W91" s="45">
        <f t="shared" si="30"/>
        <v>0</v>
      </c>
      <c r="X91" s="45">
        <f t="shared" si="30"/>
        <v>0</v>
      </c>
      <c r="Y91" s="45">
        <f t="shared" si="30"/>
        <v>0</v>
      </c>
      <c r="Z91" s="45">
        <f t="shared" si="30"/>
        <v>2816.026</v>
      </c>
      <c r="AA91" s="41">
        <f t="shared" si="23"/>
        <v>-1169.813</v>
      </c>
      <c r="AB91" s="5"/>
      <c r="AF91" s="9"/>
      <c r="AG91" s="9"/>
      <c r="AH91" s="9"/>
      <c r="AI91" s="9"/>
      <c r="AJ91" s="9"/>
      <c r="AK91" s="9"/>
      <c r="AL91" s="9"/>
      <c r="AM91" s="9"/>
    </row>
    <row r="92" spans="1:39" s="8" customFormat="1" ht="15.75">
      <c r="A92" s="5"/>
      <c r="B92" s="44" t="s">
        <v>24</v>
      </c>
      <c r="C92" s="45">
        <f>C22+C28+C32+C33+C34+C40+C44+C48+C55+C61+C74+C79+C80+C84+C67+C77+C75+C35+C72</f>
        <v>2889.951</v>
      </c>
      <c r="D92" s="45">
        <f aca="true" t="shared" si="31" ref="D92:W92">D22+D28+D32+D33+D34+D40+D44+D48+D55+D61+D74+D79+D80+D84+D67+D77+D75+D35+D72</f>
        <v>0</v>
      </c>
      <c r="E92" s="45">
        <f t="shared" si="31"/>
        <v>181.302</v>
      </c>
      <c r="F92" s="45">
        <f t="shared" si="31"/>
        <v>96.053</v>
      </c>
      <c r="G92" s="45">
        <f t="shared" si="31"/>
        <v>0</v>
      </c>
      <c r="H92" s="45">
        <f t="shared" si="31"/>
        <v>40.275999999999996</v>
      </c>
      <c r="I92" s="45">
        <f t="shared" si="31"/>
        <v>0</v>
      </c>
      <c r="J92" s="45">
        <f t="shared" si="31"/>
        <v>1114.6589999999999</v>
      </c>
      <c r="K92" s="45">
        <f t="shared" si="31"/>
        <v>62.193000000000005</v>
      </c>
      <c r="L92" s="45">
        <f t="shared" si="31"/>
        <v>0</v>
      </c>
      <c r="M92" s="45">
        <f t="shared" si="31"/>
        <v>382.47</v>
      </c>
      <c r="N92" s="45">
        <f t="shared" si="31"/>
        <v>0</v>
      </c>
      <c r="O92" s="45">
        <f t="shared" si="31"/>
        <v>331.918</v>
      </c>
      <c r="P92" s="45">
        <f t="shared" si="31"/>
        <v>15.175</v>
      </c>
      <c r="Q92" s="45">
        <f t="shared" si="31"/>
        <v>0</v>
      </c>
      <c r="R92" s="45">
        <f t="shared" si="31"/>
        <v>169.354</v>
      </c>
      <c r="S92" s="45">
        <f t="shared" si="31"/>
        <v>0</v>
      </c>
      <c r="T92" s="45">
        <f t="shared" si="31"/>
        <v>149</v>
      </c>
      <c r="U92" s="45">
        <f t="shared" si="31"/>
        <v>0</v>
      </c>
      <c r="V92" s="45">
        <f t="shared" si="31"/>
        <v>0</v>
      </c>
      <c r="W92" s="45">
        <f t="shared" si="31"/>
        <v>0</v>
      </c>
      <c r="X92" s="45">
        <f>X22+X28+X32+X33+X34+X40+X44+X48+X55+X61+X74+X79+X80+X84+X67+X77+X75+X35+X72</f>
        <v>0</v>
      </c>
      <c r="Y92" s="45">
        <f>Y22+Y28+Y32+Y33+Y34+Y40+Y44+Y48+Y55+Y61+Y74+Y79+Y80+Y84+Y67+Y77+Y75+Y35+Y72</f>
        <v>0</v>
      </c>
      <c r="Z92" s="45">
        <f>Z22+Z28+Z32+Z33+Z34+Z40+Z44+Z48+Z55+Z61+Z74+Z79+Z80+Z84+Z67+Z77+Z75+Z35+Z72</f>
        <v>2542.3999999999996</v>
      </c>
      <c r="AA92" s="41">
        <f t="shared" si="23"/>
        <v>-347.5510000000004</v>
      </c>
      <c r="AB92" s="5"/>
      <c r="AF92" s="9"/>
      <c r="AG92" s="9"/>
      <c r="AH92" s="9"/>
      <c r="AI92" s="9"/>
      <c r="AJ92" s="9"/>
      <c r="AK92" s="9"/>
      <c r="AL92" s="9"/>
      <c r="AM92" s="9"/>
    </row>
    <row r="93" spans="1:39" s="8" customFormat="1" ht="15.75">
      <c r="A93" s="5"/>
      <c r="B93" s="5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7"/>
      <c r="AB93" s="5"/>
      <c r="AF93" s="9"/>
      <c r="AG93" s="9"/>
      <c r="AH93" s="9"/>
      <c r="AI93" s="9"/>
      <c r="AJ93" s="9"/>
      <c r="AK93" s="9"/>
      <c r="AL93" s="9"/>
      <c r="AM93" s="9"/>
    </row>
    <row r="94" spans="1:39" s="8" customFormat="1" ht="15.75">
      <c r="A94" s="5"/>
      <c r="B94" s="5" t="s">
        <v>71</v>
      </c>
      <c r="C94" s="62">
        <f aca="true" t="shared" si="32" ref="C94:Z94">C18-C85</f>
        <v>0</v>
      </c>
      <c r="D94" s="62">
        <f t="shared" si="32"/>
        <v>0</v>
      </c>
      <c r="E94" s="62">
        <f t="shared" si="32"/>
        <v>0</v>
      </c>
      <c r="F94" s="62">
        <f t="shared" si="32"/>
        <v>0</v>
      </c>
      <c r="G94" s="62">
        <f t="shared" si="32"/>
        <v>0</v>
      </c>
      <c r="H94" s="62">
        <f t="shared" si="32"/>
        <v>0</v>
      </c>
      <c r="I94" s="62">
        <f t="shared" si="32"/>
        <v>0</v>
      </c>
      <c r="J94" s="62">
        <f t="shared" si="32"/>
        <v>0</v>
      </c>
      <c r="K94" s="62">
        <f t="shared" si="32"/>
        <v>0</v>
      </c>
      <c r="L94" s="62">
        <f t="shared" si="32"/>
        <v>0</v>
      </c>
      <c r="M94" s="62">
        <f t="shared" si="32"/>
        <v>0</v>
      </c>
      <c r="N94" s="62">
        <f t="shared" si="32"/>
        <v>0</v>
      </c>
      <c r="O94" s="62">
        <f t="shared" si="32"/>
        <v>0</v>
      </c>
      <c r="P94" s="62">
        <f t="shared" si="32"/>
        <v>0</v>
      </c>
      <c r="Q94" s="62">
        <f t="shared" si="32"/>
        <v>0</v>
      </c>
      <c r="R94" s="62">
        <f t="shared" si="32"/>
        <v>0</v>
      </c>
      <c r="S94" s="62">
        <f t="shared" si="32"/>
        <v>0</v>
      </c>
      <c r="T94" s="62">
        <f t="shared" si="32"/>
        <v>0</v>
      </c>
      <c r="U94" s="62">
        <f t="shared" si="32"/>
        <v>0</v>
      </c>
      <c r="V94" s="62">
        <f t="shared" si="32"/>
        <v>0</v>
      </c>
      <c r="W94" s="62">
        <f t="shared" si="32"/>
        <v>0</v>
      </c>
      <c r="X94" s="62">
        <f t="shared" si="32"/>
        <v>0</v>
      </c>
      <c r="Y94" s="62">
        <f t="shared" si="32"/>
        <v>0</v>
      </c>
      <c r="Z94" s="62">
        <f t="shared" si="32"/>
        <v>0</v>
      </c>
      <c r="AA94" s="7"/>
      <c r="AB94" s="5"/>
      <c r="AF94" s="9"/>
      <c r="AG94" s="9"/>
      <c r="AH94" s="9"/>
      <c r="AI94" s="9"/>
      <c r="AJ94" s="9"/>
      <c r="AK94" s="9"/>
      <c r="AL94" s="9"/>
      <c r="AM94" s="9"/>
    </row>
    <row r="95" spans="1:39" s="8" customFormat="1" ht="15.75">
      <c r="A95" s="5"/>
      <c r="B95" s="5"/>
      <c r="C95" s="6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7"/>
      <c r="AB95" s="5"/>
      <c r="AF95" s="9"/>
      <c r="AG95" s="9"/>
      <c r="AH95" s="9"/>
      <c r="AI95" s="9"/>
      <c r="AJ95" s="9"/>
      <c r="AK95" s="9"/>
      <c r="AL95" s="9"/>
      <c r="AM95" s="9"/>
    </row>
    <row r="96" spans="1:39" s="8" customFormat="1" ht="15.75">
      <c r="A96" s="5"/>
      <c r="B96" s="5"/>
      <c r="C96" s="63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7"/>
      <c r="AB96" s="5"/>
      <c r="AF96" s="9"/>
      <c r="AG96" s="9"/>
      <c r="AH96" s="9"/>
      <c r="AI96" s="9"/>
      <c r="AJ96" s="9"/>
      <c r="AK96" s="9"/>
      <c r="AL96" s="9"/>
      <c r="AM96" s="9"/>
    </row>
    <row r="98" spans="1:39" s="8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7"/>
      <c r="AB98" s="64"/>
      <c r="AF98" s="9"/>
      <c r="AG98" s="9"/>
      <c r="AH98" s="9"/>
      <c r="AI98" s="9"/>
      <c r="AJ98" s="9"/>
      <c r="AK98" s="9"/>
      <c r="AL98" s="9"/>
      <c r="AM98" s="9"/>
    </row>
    <row r="177" ht="15.75">
      <c r="B177" s="7" t="s">
        <v>64</v>
      </c>
    </row>
  </sheetData>
  <sheetProtection/>
  <mergeCells count="1">
    <mergeCell ref="B3:Z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4" max="255" man="1"/>
  </rowBreaks>
  <colBreaks count="1" manualBreakCount="1">
    <brk id="2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W177"/>
  <sheetViews>
    <sheetView view="pageBreakPreview" zoomScale="75" zoomScaleNormal="40" zoomScaleSheetLayoutView="75" zoomScalePageLayoutView="0" workbookViewId="0" topLeftCell="B1">
      <pane xSplit="3360" ySplit="2250" topLeftCell="V82" activePane="bottomRight" state="split"/>
      <selection pane="topLeft" activeCell="B1" sqref="B1"/>
      <selection pane="topRight" activeCell="C1" sqref="C1"/>
      <selection pane="bottomLeft" activeCell="B6" sqref="B6"/>
      <selection pane="bottomRight" activeCell="AK88" sqref="AK8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4" width="4.00390625" style="5" customWidth="1"/>
    <col min="5" max="9" width="8.7109375" style="5" customWidth="1"/>
    <col min="10" max="10" width="4.57421875" style="5" customWidth="1"/>
    <col min="11" max="11" width="4.00390625" style="5" customWidth="1"/>
    <col min="12" max="12" width="4.140625" style="5" customWidth="1"/>
    <col min="13" max="16" width="8.7109375" style="5" customWidth="1"/>
    <col min="17" max="17" width="3.7109375" style="5" customWidth="1"/>
    <col min="18" max="18" width="5.00390625" style="5" customWidth="1"/>
    <col min="19" max="23" width="8.7109375" style="5" customWidth="1"/>
    <col min="24" max="24" width="4.140625" style="5" bestFit="1" customWidth="1"/>
    <col min="25" max="25" width="4.28125" style="5" customWidth="1"/>
    <col min="26" max="30" width="8.7109375" style="5" customWidth="1"/>
    <col min="31" max="31" width="4.140625" style="5" bestFit="1" customWidth="1"/>
    <col min="32" max="32" width="3.8515625" style="5" customWidth="1"/>
    <col min="33" max="34" width="8.7109375" style="5" customWidth="1"/>
    <col min="35" max="35" width="8.71093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3" spans="2:49" s="1" customFormat="1" ht="18.75">
      <c r="B3" s="75" t="s">
        <v>72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110.4</v>
      </c>
      <c r="D6" s="15"/>
      <c r="E6" s="16"/>
      <c r="F6" s="17"/>
      <c r="G6" s="18"/>
      <c r="H6" s="17"/>
      <c r="I6" s="18"/>
      <c r="J6" s="18"/>
      <c r="K6" s="18"/>
      <c r="L6" s="18"/>
      <c r="M6" s="18"/>
      <c r="N6" s="19"/>
      <c r="O6" s="18">
        <v>20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v>90.4</v>
      </c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SUM(E7:AH7)</f>
        <v>4233</v>
      </c>
      <c r="D7" s="15"/>
      <c r="E7" s="21">
        <v>2039.2</v>
      </c>
      <c r="F7" s="17"/>
      <c r="G7" s="17"/>
      <c r="H7" s="17"/>
      <c r="I7" s="17"/>
      <c r="J7" s="17"/>
      <c r="K7" s="17"/>
      <c r="L7" s="17"/>
      <c r="M7" s="17"/>
      <c r="N7" s="22"/>
      <c r="O7" s="17"/>
      <c r="P7" s="17">
        <v>2193.8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SUM(E8:AI8)</f>
        <v>16177.619999999999</v>
      </c>
      <c r="D8" s="25">
        <f aca="true" t="shared" si="0" ref="D8:AH8">SUM(D9:D16)</f>
        <v>0</v>
      </c>
      <c r="E8" s="25">
        <f t="shared" si="0"/>
        <v>351.4</v>
      </c>
      <c r="F8" s="25">
        <f t="shared" si="0"/>
        <v>35.399999999999984</v>
      </c>
      <c r="G8" s="25">
        <f t="shared" si="0"/>
        <v>39.30000000000002</v>
      </c>
      <c r="H8" s="25">
        <f t="shared" si="0"/>
        <v>894.6999999999999</v>
      </c>
      <c r="I8" s="25">
        <f t="shared" si="0"/>
        <v>3229.9999999999995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339.3</v>
      </c>
      <c r="N8" s="25">
        <f t="shared" si="0"/>
        <v>355</v>
      </c>
      <c r="O8" s="25">
        <f t="shared" si="0"/>
        <v>827.3000000000001</v>
      </c>
      <c r="P8" s="25">
        <f t="shared" si="0"/>
        <v>856.8</v>
      </c>
      <c r="Q8" s="25">
        <f t="shared" si="0"/>
        <v>0</v>
      </c>
      <c r="R8" s="25">
        <f t="shared" si="0"/>
        <v>0</v>
      </c>
      <c r="S8" s="25">
        <f t="shared" si="0"/>
        <v>664.3999999999999</v>
      </c>
      <c r="T8" s="25">
        <f t="shared" si="0"/>
        <v>504.9</v>
      </c>
      <c r="U8" s="25">
        <f t="shared" si="0"/>
        <v>551.5999999999999</v>
      </c>
      <c r="V8" s="25">
        <f t="shared" si="0"/>
        <v>655.085</v>
      </c>
      <c r="W8" s="25">
        <f t="shared" si="0"/>
        <v>1664.3</v>
      </c>
      <c r="X8" s="25">
        <f t="shared" si="0"/>
        <v>0</v>
      </c>
      <c r="Y8" s="25">
        <f t="shared" si="0"/>
        <v>0</v>
      </c>
      <c r="Z8" s="25">
        <f t="shared" si="0"/>
        <v>679.8350000000002</v>
      </c>
      <c r="AA8" s="25">
        <f t="shared" si="0"/>
        <v>503.90000000000003</v>
      </c>
      <c r="AB8" s="25">
        <f t="shared" si="0"/>
        <v>949.6999999999999</v>
      </c>
      <c r="AC8" s="25">
        <f t="shared" si="0"/>
        <v>860</v>
      </c>
      <c r="AD8" s="25">
        <f t="shared" si="0"/>
        <v>648.2</v>
      </c>
      <c r="AE8" s="25">
        <f t="shared" si="0"/>
        <v>0</v>
      </c>
      <c r="AF8" s="25">
        <f t="shared" si="0"/>
        <v>0</v>
      </c>
      <c r="AG8" s="25">
        <f t="shared" si="0"/>
        <v>1217.6</v>
      </c>
      <c r="AH8" s="25">
        <f t="shared" si="0"/>
        <v>348.90000000000003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28">
        <f>SUM(D9:AH9)</f>
        <v>11042.569000000001</v>
      </c>
      <c r="D9" s="28"/>
      <c r="E9" s="29">
        <v>119.2</v>
      </c>
      <c r="F9" s="22">
        <v>99.9</v>
      </c>
      <c r="G9" s="22">
        <v>145.3</v>
      </c>
      <c r="H9" s="22">
        <v>774.9</v>
      </c>
      <c r="I9" s="22">
        <v>2723.7</v>
      </c>
      <c r="J9" s="22"/>
      <c r="K9" s="22"/>
      <c r="L9" s="22"/>
      <c r="M9" s="22">
        <v>177.9</v>
      </c>
      <c r="N9" s="22">
        <v>137.1</v>
      </c>
      <c r="O9" s="22">
        <v>669.2</v>
      </c>
      <c r="P9" s="22">
        <v>638.2</v>
      </c>
      <c r="Q9" s="22"/>
      <c r="R9" s="22"/>
      <c r="S9" s="22">
        <v>350.5</v>
      </c>
      <c r="T9" s="22">
        <v>108.4</v>
      </c>
      <c r="U9" s="22">
        <v>198.6</v>
      </c>
      <c r="V9" s="22">
        <v>321.977</v>
      </c>
      <c r="W9" s="22">
        <v>1462.5</v>
      </c>
      <c r="X9" s="22"/>
      <c r="Y9" s="22"/>
      <c r="Z9" s="30">
        <v>488.392</v>
      </c>
      <c r="AA9" s="30">
        <v>243.1</v>
      </c>
      <c r="AB9" s="22">
        <v>579.6</v>
      </c>
      <c r="AC9" s="30">
        <v>571.6</v>
      </c>
      <c r="AD9" s="22">
        <v>396.9</v>
      </c>
      <c r="AE9" s="22"/>
      <c r="AF9" s="22"/>
      <c r="AG9" s="22">
        <v>562</v>
      </c>
      <c r="AH9" s="22">
        <v>273.6</v>
      </c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28">
        <f aca="true" t="shared" si="1" ref="C10:C16">SUM(D10:AH10)</f>
        <v>65.9</v>
      </c>
      <c r="D10" s="28"/>
      <c r="E10" s="29"/>
      <c r="F10" s="22"/>
      <c r="G10" s="22"/>
      <c r="H10" s="22">
        <v>1.3</v>
      </c>
      <c r="I10" s="22">
        <v>62.7</v>
      </c>
      <c r="J10" s="22"/>
      <c r="K10" s="22"/>
      <c r="L10" s="22"/>
      <c r="M10" s="22">
        <v>1.9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28">
        <f t="shared" si="1"/>
        <v>1195.523</v>
      </c>
      <c r="D11" s="28"/>
      <c r="E11" s="29">
        <v>33.6</v>
      </c>
      <c r="F11" s="22">
        <v>17.6</v>
      </c>
      <c r="G11" s="22">
        <v>9.3</v>
      </c>
      <c r="H11" s="22">
        <v>14.3</v>
      </c>
      <c r="I11" s="22">
        <v>78.9</v>
      </c>
      <c r="J11" s="22"/>
      <c r="K11" s="22"/>
      <c r="L11" s="22"/>
      <c r="M11" s="22">
        <v>70.4</v>
      </c>
      <c r="N11" s="22">
        <v>28.9</v>
      </c>
      <c r="O11" s="22">
        <v>41.5</v>
      </c>
      <c r="P11" s="22">
        <v>52.1</v>
      </c>
      <c r="Q11" s="22"/>
      <c r="R11" s="22"/>
      <c r="S11" s="22">
        <v>88.2</v>
      </c>
      <c r="T11" s="22">
        <v>53.9</v>
      </c>
      <c r="U11" s="22">
        <v>44.8</v>
      </c>
      <c r="V11" s="22">
        <v>60.475</v>
      </c>
      <c r="W11" s="22">
        <v>48.1</v>
      </c>
      <c r="X11" s="22"/>
      <c r="Y11" s="22"/>
      <c r="Z11" s="30">
        <v>87.348</v>
      </c>
      <c r="AA11" s="30">
        <v>64.4</v>
      </c>
      <c r="AB11" s="22">
        <v>112.5</v>
      </c>
      <c r="AC11" s="30">
        <v>25.3</v>
      </c>
      <c r="AD11" s="22">
        <v>36.1</v>
      </c>
      <c r="AE11" s="22"/>
      <c r="AF11" s="22"/>
      <c r="AG11" s="22">
        <v>217.8</v>
      </c>
      <c r="AH11" s="22">
        <v>10</v>
      </c>
      <c r="AI11" s="22"/>
      <c r="AJ11" s="29"/>
      <c r="AK11" s="31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28">
        <f t="shared" si="1"/>
        <v>343.18899999999996</v>
      </c>
      <c r="D12" s="28"/>
      <c r="E12" s="29">
        <v>19.7</v>
      </c>
      <c r="F12" s="22">
        <v>2</v>
      </c>
      <c r="G12" s="22"/>
      <c r="H12" s="22"/>
      <c r="I12" s="22">
        <v>96.4</v>
      </c>
      <c r="J12" s="22"/>
      <c r="K12" s="22"/>
      <c r="L12" s="22"/>
      <c r="M12" s="22">
        <v>1</v>
      </c>
      <c r="N12" s="22">
        <v>10.8</v>
      </c>
      <c r="O12" s="22">
        <v>2.7</v>
      </c>
      <c r="P12" s="22">
        <v>11.4</v>
      </c>
      <c r="Q12" s="22"/>
      <c r="R12" s="22"/>
      <c r="S12" s="22">
        <v>6.6</v>
      </c>
      <c r="T12" s="22">
        <v>4.2</v>
      </c>
      <c r="U12" s="22">
        <v>0.3</v>
      </c>
      <c r="V12" s="22">
        <v>80.17</v>
      </c>
      <c r="W12" s="22">
        <v>1.2</v>
      </c>
      <c r="X12" s="22"/>
      <c r="Y12" s="22"/>
      <c r="Z12" s="30">
        <v>2.519</v>
      </c>
      <c r="AA12" s="30">
        <v>1.1</v>
      </c>
      <c r="AB12" s="22">
        <v>3.4</v>
      </c>
      <c r="AC12" s="30">
        <v>41.5</v>
      </c>
      <c r="AD12" s="22">
        <v>42.5</v>
      </c>
      <c r="AE12" s="22"/>
      <c r="AF12" s="22"/>
      <c r="AG12" s="22">
        <v>15</v>
      </c>
      <c r="AH12" s="22">
        <v>0.7</v>
      </c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28">
        <f t="shared" si="1"/>
        <v>1981.8029999999999</v>
      </c>
      <c r="D13" s="28"/>
      <c r="E13" s="29">
        <v>47.3</v>
      </c>
      <c r="F13" s="22">
        <v>30.7</v>
      </c>
      <c r="G13" s="22">
        <v>43.9</v>
      </c>
      <c r="H13" s="22">
        <v>17.8</v>
      </c>
      <c r="I13" s="22">
        <v>21.6</v>
      </c>
      <c r="J13" s="22"/>
      <c r="K13" s="22"/>
      <c r="L13" s="22"/>
      <c r="M13" s="22">
        <v>10.1</v>
      </c>
      <c r="N13" s="22">
        <v>32.7</v>
      </c>
      <c r="O13" s="22">
        <v>28.7</v>
      </c>
      <c r="P13" s="22">
        <v>31.5</v>
      </c>
      <c r="Q13" s="22"/>
      <c r="R13" s="22"/>
      <c r="S13" s="22">
        <v>16.3</v>
      </c>
      <c r="T13" s="22">
        <v>201.3</v>
      </c>
      <c r="U13" s="22">
        <v>208.2</v>
      </c>
      <c r="V13" s="22">
        <v>50.806</v>
      </c>
      <c r="W13" s="22">
        <v>71.8</v>
      </c>
      <c r="X13" s="22"/>
      <c r="Y13" s="22"/>
      <c r="Z13" s="30">
        <v>33.697</v>
      </c>
      <c r="AA13" s="30">
        <v>136.8</v>
      </c>
      <c r="AB13" s="22">
        <v>195.3</v>
      </c>
      <c r="AC13" s="22">
        <v>210.5</v>
      </c>
      <c r="AD13" s="22">
        <v>167</v>
      </c>
      <c r="AE13" s="22"/>
      <c r="AF13" s="22"/>
      <c r="AG13" s="22">
        <v>391.9</v>
      </c>
      <c r="AH13" s="22">
        <v>33.9</v>
      </c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28">
        <f t="shared" si="1"/>
        <v>843.9700000000001</v>
      </c>
      <c r="D14" s="28"/>
      <c r="E14" s="29">
        <v>22.6</v>
      </c>
      <c r="F14" s="22">
        <v>-126.9</v>
      </c>
      <c r="G14" s="22">
        <v>-176.9</v>
      </c>
      <c r="H14" s="22">
        <v>60.1</v>
      </c>
      <c r="I14" s="22">
        <v>34</v>
      </c>
      <c r="J14" s="22"/>
      <c r="K14" s="22"/>
      <c r="L14" s="22"/>
      <c r="M14" s="22">
        <v>57.2</v>
      </c>
      <c r="N14" s="22">
        <v>47.5</v>
      </c>
      <c r="O14" s="22">
        <v>67.1</v>
      </c>
      <c r="P14" s="22">
        <v>96.8</v>
      </c>
      <c r="Q14" s="22"/>
      <c r="R14" s="22"/>
      <c r="S14" s="22">
        <v>170.7</v>
      </c>
      <c r="T14" s="22">
        <v>123.3</v>
      </c>
      <c r="U14" s="22">
        <v>80.8</v>
      </c>
      <c r="V14" s="22">
        <v>121.696</v>
      </c>
      <c r="W14" s="22">
        <v>74.5</v>
      </c>
      <c r="X14" s="22"/>
      <c r="Y14" s="22"/>
      <c r="Z14" s="30">
        <v>54.974</v>
      </c>
      <c r="AA14" s="30">
        <v>52.6</v>
      </c>
      <c r="AB14" s="22">
        <v>56.6</v>
      </c>
      <c r="AC14" s="30">
        <v>9.2</v>
      </c>
      <c r="AD14" s="22">
        <v>2.3</v>
      </c>
      <c r="AE14" s="22"/>
      <c r="AF14" s="22"/>
      <c r="AG14" s="22">
        <v>6.7</v>
      </c>
      <c r="AH14" s="22">
        <v>9.1</v>
      </c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28">
        <f t="shared" si="1"/>
        <v>136.853</v>
      </c>
      <c r="D15" s="28"/>
      <c r="E15" s="29">
        <v>10.1</v>
      </c>
      <c r="F15" s="22">
        <v>9</v>
      </c>
      <c r="G15" s="22">
        <v>11.4</v>
      </c>
      <c r="H15" s="22">
        <v>12.6</v>
      </c>
      <c r="I15" s="22">
        <v>9.1</v>
      </c>
      <c r="J15" s="22"/>
      <c r="K15" s="22"/>
      <c r="L15" s="22"/>
      <c r="M15" s="22">
        <v>11.2</v>
      </c>
      <c r="N15" s="22">
        <v>8.2</v>
      </c>
      <c r="O15" s="22">
        <v>13.3</v>
      </c>
      <c r="P15" s="22">
        <v>11.4</v>
      </c>
      <c r="Q15" s="22"/>
      <c r="R15" s="22"/>
      <c r="S15" s="22">
        <v>8.3</v>
      </c>
      <c r="T15" s="22">
        <v>2.9</v>
      </c>
      <c r="U15" s="22">
        <v>9.6</v>
      </c>
      <c r="V15" s="22">
        <v>6.774</v>
      </c>
      <c r="W15" s="22">
        <v>1.7</v>
      </c>
      <c r="X15" s="22"/>
      <c r="Y15" s="22"/>
      <c r="Z15" s="30">
        <v>4.479</v>
      </c>
      <c r="AA15" s="30">
        <v>1.2</v>
      </c>
      <c r="AB15" s="22">
        <v>1.5</v>
      </c>
      <c r="AC15" s="30">
        <v>0.5</v>
      </c>
      <c r="AD15" s="22">
        <v>0.7</v>
      </c>
      <c r="AE15" s="22"/>
      <c r="AF15" s="22"/>
      <c r="AG15" s="22">
        <v>0.3</v>
      </c>
      <c r="AH15" s="22">
        <v>2.6</v>
      </c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28">
        <f t="shared" si="1"/>
        <v>567.8130000000001</v>
      </c>
      <c r="D16" s="28"/>
      <c r="E16" s="29">
        <v>98.9</v>
      </c>
      <c r="F16" s="22">
        <v>3.1</v>
      </c>
      <c r="G16" s="22">
        <v>6.3</v>
      </c>
      <c r="H16" s="22">
        <v>13.7</v>
      </c>
      <c r="I16" s="22">
        <v>203.6</v>
      </c>
      <c r="J16" s="22"/>
      <c r="K16" s="22"/>
      <c r="L16" s="22"/>
      <c r="M16" s="22">
        <v>9.6</v>
      </c>
      <c r="N16" s="22">
        <v>89.8</v>
      </c>
      <c r="O16" s="22">
        <v>4.8</v>
      </c>
      <c r="P16" s="22">
        <v>15.4</v>
      </c>
      <c r="Q16" s="22"/>
      <c r="R16" s="22"/>
      <c r="S16" s="22">
        <v>23.8</v>
      </c>
      <c r="T16" s="22">
        <v>10.9</v>
      </c>
      <c r="U16" s="22">
        <v>9.3</v>
      </c>
      <c r="V16" s="22">
        <v>13.187</v>
      </c>
      <c r="W16" s="22">
        <v>4.5</v>
      </c>
      <c r="X16" s="22"/>
      <c r="Y16" s="22"/>
      <c r="Z16" s="30">
        <v>8.426</v>
      </c>
      <c r="AA16" s="30">
        <v>4.7</v>
      </c>
      <c r="AB16" s="22">
        <v>0.8</v>
      </c>
      <c r="AC16" s="30">
        <v>1.4</v>
      </c>
      <c r="AD16" s="22">
        <v>2.7</v>
      </c>
      <c r="AE16" s="22"/>
      <c r="AF16" s="22"/>
      <c r="AG16" s="22">
        <v>23.9</v>
      </c>
      <c r="AH16" s="22">
        <v>19</v>
      </c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SUM(E17:AH17)</f>
        <v>20521.020000000004</v>
      </c>
      <c r="D17" s="38">
        <f>SUM(D6:D8)</f>
        <v>0</v>
      </c>
      <c r="E17" s="38">
        <f aca="true" t="shared" si="2" ref="E17:AH17">SUM(E6:E8)</f>
        <v>2390.6</v>
      </c>
      <c r="F17" s="38">
        <f t="shared" si="2"/>
        <v>35.399999999999984</v>
      </c>
      <c r="G17" s="38">
        <f t="shared" si="2"/>
        <v>39.30000000000002</v>
      </c>
      <c r="H17" s="38">
        <f t="shared" si="2"/>
        <v>894.6999999999999</v>
      </c>
      <c r="I17" s="38">
        <f t="shared" si="2"/>
        <v>3229.9999999999995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 t="shared" si="2"/>
        <v>339.3</v>
      </c>
      <c r="N17" s="38">
        <f t="shared" si="2"/>
        <v>355</v>
      </c>
      <c r="O17" s="38">
        <f t="shared" si="2"/>
        <v>847.3000000000001</v>
      </c>
      <c r="P17" s="38">
        <f t="shared" si="2"/>
        <v>3050.6000000000004</v>
      </c>
      <c r="Q17" s="38">
        <f t="shared" si="2"/>
        <v>0</v>
      </c>
      <c r="R17" s="38">
        <f t="shared" si="2"/>
        <v>0</v>
      </c>
      <c r="S17" s="38">
        <f t="shared" si="2"/>
        <v>664.3999999999999</v>
      </c>
      <c r="T17" s="38">
        <f t="shared" si="2"/>
        <v>504.9</v>
      </c>
      <c r="U17" s="38">
        <f t="shared" si="2"/>
        <v>551.5999999999999</v>
      </c>
      <c r="V17" s="38">
        <f t="shared" si="2"/>
        <v>655.085</v>
      </c>
      <c r="W17" s="38">
        <f t="shared" si="2"/>
        <v>1664.3</v>
      </c>
      <c r="X17" s="38">
        <f t="shared" si="2"/>
        <v>0</v>
      </c>
      <c r="Y17" s="38">
        <f t="shared" si="2"/>
        <v>0</v>
      </c>
      <c r="Z17" s="38">
        <f t="shared" si="2"/>
        <v>679.8350000000002</v>
      </c>
      <c r="AA17" s="38">
        <f t="shared" si="2"/>
        <v>503.90000000000003</v>
      </c>
      <c r="AB17" s="38">
        <f t="shared" si="2"/>
        <v>949.6999999999999</v>
      </c>
      <c r="AC17" s="38">
        <f t="shared" si="2"/>
        <v>950.4</v>
      </c>
      <c r="AD17" s="38">
        <f t="shared" si="2"/>
        <v>648.2</v>
      </c>
      <c r="AE17" s="38">
        <f t="shared" si="2"/>
        <v>0</v>
      </c>
      <c r="AF17" s="38">
        <f t="shared" si="2"/>
        <v>0</v>
      </c>
      <c r="AG17" s="38">
        <f t="shared" si="2"/>
        <v>1217.6</v>
      </c>
      <c r="AH17" s="38">
        <f t="shared" si="2"/>
        <v>348.90000000000003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C19+C23+C29+C32+C33+C35+C36+C41+C45+C49+C52+C56+C66+C73+C79+C80+C84+C31+C69+C77+C75+C76+C81+C82+C83+C72+C34+C62+C78+C64</f>
        <v>37421.15599999999</v>
      </c>
      <c r="D18" s="40">
        <f>D19+D23+D29+D32+D33+D35+D36+D41+D45+D49+D52+D56+D66+D73+D79+D80+D84+D31+D69+D77+D75+D76+D81+D82+D83+D72+D34+D62+D78+D64</f>
        <v>0</v>
      </c>
      <c r="E18" s="40">
        <f>E19+E23+E29+E32+E33+E35+E36+E41+E45+E49+E52+E56+E66+E73+E79+E80+E84+E31+E69+E77+E75+E76+E81+E82+E83+E72+E34+E62+E78+E64</f>
        <v>0</v>
      </c>
      <c r="F18" s="40">
        <f aca="true" t="shared" si="3" ref="F18:AJ18">F19+F23+F29+F32+F33+F35+F36+F41+F45+F49+F52+F56+F66+F73+F79+F80+F84+F31+F69+F77+F75+F76+F81+F82+F83+F72+F34+F62+F78+F64</f>
        <v>216.476</v>
      </c>
      <c r="G18" s="40">
        <f t="shared" si="3"/>
        <v>1202.626</v>
      </c>
      <c r="H18" s="40">
        <f t="shared" si="3"/>
        <v>0</v>
      </c>
      <c r="I18" s="40">
        <f t="shared" si="3"/>
        <v>1484.818</v>
      </c>
      <c r="J18" s="40">
        <f t="shared" si="3"/>
        <v>0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8230.234999999999</v>
      </c>
      <c r="O18" s="40">
        <f t="shared" si="3"/>
        <v>0</v>
      </c>
      <c r="P18" s="40">
        <f t="shared" si="3"/>
        <v>1016.4190000000001</v>
      </c>
      <c r="Q18" s="40">
        <f t="shared" si="3"/>
        <v>0</v>
      </c>
      <c r="R18" s="40">
        <f t="shared" si="3"/>
        <v>0</v>
      </c>
      <c r="S18" s="40">
        <f t="shared" si="3"/>
        <v>82.231</v>
      </c>
      <c r="T18" s="40">
        <f t="shared" si="3"/>
        <v>615.4359999999999</v>
      </c>
      <c r="U18" s="40">
        <f t="shared" si="3"/>
        <v>820.667</v>
      </c>
      <c r="V18" s="40">
        <f t="shared" si="3"/>
        <v>0</v>
      </c>
      <c r="W18" s="40">
        <f t="shared" si="3"/>
        <v>3581.5000000000005</v>
      </c>
      <c r="X18" s="40">
        <f t="shared" si="3"/>
        <v>0</v>
      </c>
      <c r="Y18" s="40">
        <f t="shared" si="3"/>
        <v>0</v>
      </c>
      <c r="Z18" s="40">
        <f t="shared" si="3"/>
        <v>227.44</v>
      </c>
      <c r="AA18" s="40">
        <f t="shared" si="3"/>
        <v>4250.439</v>
      </c>
      <c r="AB18" s="40">
        <f t="shared" si="3"/>
        <v>1465.8999999999999</v>
      </c>
      <c r="AC18" s="40">
        <f t="shared" si="3"/>
        <v>0</v>
      </c>
      <c r="AD18" s="40">
        <f t="shared" si="3"/>
        <v>1672.148</v>
      </c>
      <c r="AE18" s="40">
        <f t="shared" si="3"/>
        <v>0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24866.33500000001</v>
      </c>
      <c r="AK18" s="41">
        <f aca="true" t="shared" si="4" ref="AK18:AK81">AJ18-C18</f>
        <v>-12554.820999999978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J19">SUM(C20:C22)</f>
        <v>8269.999</v>
      </c>
      <c r="D19" s="43">
        <f t="shared" si="5"/>
        <v>0</v>
      </c>
      <c r="E19" s="43">
        <f t="shared" si="5"/>
        <v>0</v>
      </c>
      <c r="F19" s="43">
        <f t="shared" si="5"/>
        <v>40.65</v>
      </c>
      <c r="G19" s="43">
        <f t="shared" si="5"/>
        <v>133.922</v>
      </c>
      <c r="H19" s="43">
        <f t="shared" si="5"/>
        <v>0</v>
      </c>
      <c r="I19" s="43">
        <f t="shared" si="5"/>
        <v>71.003</v>
      </c>
      <c r="J19" s="43">
        <f t="shared" si="5"/>
        <v>0</v>
      </c>
      <c r="K19" s="43">
        <f t="shared" si="5"/>
        <v>0</v>
      </c>
      <c r="L19" s="43">
        <f t="shared" si="5"/>
        <v>0</v>
      </c>
      <c r="M19" s="43">
        <f t="shared" si="5"/>
        <v>0</v>
      </c>
      <c r="N19" s="43">
        <f t="shared" si="5"/>
        <v>2893.098</v>
      </c>
      <c r="O19" s="43">
        <f t="shared" si="5"/>
        <v>0</v>
      </c>
      <c r="P19" s="43">
        <f t="shared" si="5"/>
        <v>32.033</v>
      </c>
      <c r="Q19" s="43">
        <f t="shared" si="5"/>
        <v>0</v>
      </c>
      <c r="R19" s="43">
        <f t="shared" si="5"/>
        <v>0</v>
      </c>
      <c r="S19" s="43">
        <f t="shared" si="5"/>
        <v>0</v>
      </c>
      <c r="T19" s="43">
        <f t="shared" si="5"/>
        <v>18.177000000000003</v>
      </c>
      <c r="U19" s="43">
        <f t="shared" si="5"/>
        <v>4.356999999999999</v>
      </c>
      <c r="V19" s="43">
        <f t="shared" si="5"/>
        <v>0</v>
      </c>
      <c r="W19" s="43">
        <f t="shared" si="5"/>
        <v>68.9</v>
      </c>
      <c r="X19" s="43">
        <f t="shared" si="5"/>
        <v>0</v>
      </c>
      <c r="Y19" s="43">
        <f t="shared" si="5"/>
        <v>0</v>
      </c>
      <c r="Z19" s="43">
        <f t="shared" si="5"/>
        <v>227.44</v>
      </c>
      <c r="AA19" s="43">
        <f t="shared" si="5"/>
        <v>239.534</v>
      </c>
      <c r="AB19" s="43">
        <f t="shared" si="5"/>
        <v>710.7529999999999</v>
      </c>
      <c r="AC19" s="43">
        <f t="shared" si="5"/>
        <v>0</v>
      </c>
      <c r="AD19" s="43">
        <f t="shared" si="5"/>
        <v>1656.566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 t="shared" si="5"/>
        <v>6096.433</v>
      </c>
      <c r="AK19" s="41">
        <f t="shared" si="4"/>
        <v>-2173.566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f>5673.004+29.8+20+47+50+31.7</f>
        <v>5851.504</v>
      </c>
      <c r="D20" s="45"/>
      <c r="E20" s="17"/>
      <c r="F20" s="17">
        <v>15.6</v>
      </c>
      <c r="G20" s="17">
        <v>97.679</v>
      </c>
      <c r="H20" s="17"/>
      <c r="I20" s="17"/>
      <c r="J20" s="17"/>
      <c r="K20" s="17"/>
      <c r="L20" s="17"/>
      <c r="M20" s="22"/>
      <c r="N20" s="22">
        <v>2779.136</v>
      </c>
      <c r="O20" s="17"/>
      <c r="P20" s="17"/>
      <c r="Q20" s="17"/>
      <c r="R20" s="17"/>
      <c r="S20" s="17"/>
      <c r="T20" s="17"/>
      <c r="U20" s="17"/>
      <c r="V20" s="17"/>
      <c r="W20" s="17">
        <v>63.4</v>
      </c>
      <c r="X20" s="17"/>
      <c r="Y20" s="17"/>
      <c r="Z20" s="17">
        <v>227.395</v>
      </c>
      <c r="AA20" s="17">
        <v>236.332</v>
      </c>
      <c r="AB20" s="17">
        <v>640.8</v>
      </c>
      <c r="AC20" s="17"/>
      <c r="AD20" s="22">
        <v>1655.577</v>
      </c>
      <c r="AE20" s="22"/>
      <c r="AF20" s="22"/>
      <c r="AG20" s="22"/>
      <c r="AH20" s="17"/>
      <c r="AI20" s="17"/>
      <c r="AJ20" s="17">
        <f>SUM(E20:AI20)</f>
        <v>5715.919</v>
      </c>
      <c r="AK20" s="41">
        <f t="shared" si="4"/>
        <v>-135.58500000000004</v>
      </c>
      <c r="AL20" s="7"/>
      <c r="AM20" s="66" t="s">
        <v>21</v>
      </c>
      <c r="AN20" s="67">
        <f>AJ19</f>
        <v>6096.433</v>
      </c>
      <c r="AP20" s="8"/>
    </row>
    <row r="21" spans="2:42" ht="15.75">
      <c r="B21" s="44" t="s">
        <v>22</v>
      </c>
      <c r="C21" s="45">
        <f>444.657-10</f>
        <v>434.657</v>
      </c>
      <c r="D21" s="45"/>
      <c r="E21" s="17"/>
      <c r="F21" s="17">
        <v>6.762</v>
      </c>
      <c r="G21" s="17">
        <v>20.116</v>
      </c>
      <c r="H21" s="17"/>
      <c r="I21" s="17">
        <v>43.855</v>
      </c>
      <c r="J21" s="17"/>
      <c r="K21" s="17"/>
      <c r="L21" s="17"/>
      <c r="M21" s="22"/>
      <c r="N21" s="22">
        <v>42.395</v>
      </c>
      <c r="O21" s="17"/>
      <c r="P21" s="17"/>
      <c r="Q21" s="17"/>
      <c r="R21" s="17"/>
      <c r="S21" s="17"/>
      <c r="T21" s="17">
        <v>0.071</v>
      </c>
      <c r="U21" s="17">
        <v>0.302</v>
      </c>
      <c r="V21" s="17"/>
      <c r="W21" s="17"/>
      <c r="X21" s="17"/>
      <c r="Y21" s="17"/>
      <c r="Z21" s="17">
        <v>0.045</v>
      </c>
      <c r="AA21" s="17"/>
      <c r="AB21" s="17">
        <v>0.634</v>
      </c>
      <c r="AC21" s="17"/>
      <c r="AD21" s="22">
        <v>0.989</v>
      </c>
      <c r="AE21" s="22"/>
      <c r="AF21" s="22"/>
      <c r="AG21" s="22"/>
      <c r="AH21" s="17"/>
      <c r="AI21" s="17"/>
      <c r="AJ21" s="17">
        <f>SUM(E21:AI21)</f>
        <v>115.16900000000003</v>
      </c>
      <c r="AK21" s="41">
        <f t="shared" si="4"/>
        <v>-319.48799999999994</v>
      </c>
      <c r="AL21" s="7"/>
      <c r="AM21" s="66" t="s">
        <v>23</v>
      </c>
      <c r="AN21" s="67">
        <f>AJ23</f>
        <v>11958.609000000004</v>
      </c>
      <c r="AP21" s="8"/>
    </row>
    <row r="22" spans="2:42" ht="15.75">
      <c r="B22" s="44" t="s">
        <v>24</v>
      </c>
      <c r="C22" s="45">
        <v>1983.838</v>
      </c>
      <c r="D22" s="45"/>
      <c r="E22" s="17"/>
      <c r="F22" s="17">
        <v>18.288</v>
      </c>
      <c r="G22" s="17">
        <v>16.127</v>
      </c>
      <c r="H22" s="17"/>
      <c r="I22" s="17">
        <v>27.148</v>
      </c>
      <c r="J22" s="17"/>
      <c r="K22" s="17"/>
      <c r="L22" s="17"/>
      <c r="M22" s="17"/>
      <c r="N22" s="17">
        <v>71.567</v>
      </c>
      <c r="O22" s="17"/>
      <c r="P22" s="17">
        <v>32.033</v>
      </c>
      <c r="Q22" s="17"/>
      <c r="R22" s="17"/>
      <c r="S22" s="17"/>
      <c r="T22" s="17">
        <v>18.106</v>
      </c>
      <c r="U22" s="17">
        <f>4.055</f>
        <v>4.055</v>
      </c>
      <c r="V22" s="17"/>
      <c r="W22" s="17">
        <v>5.5</v>
      </c>
      <c r="X22" s="17"/>
      <c r="Y22" s="17"/>
      <c r="Z22" s="17"/>
      <c r="AA22" s="17">
        <f>1.1+2.102</f>
        <v>3.202</v>
      </c>
      <c r="AB22" s="17">
        <v>69.319</v>
      </c>
      <c r="AC22" s="17"/>
      <c r="AD22" s="17"/>
      <c r="AE22" s="17"/>
      <c r="AF22" s="17"/>
      <c r="AG22" s="17"/>
      <c r="AH22" s="17"/>
      <c r="AI22" s="17"/>
      <c r="AJ22" s="17">
        <f>SUM(E22:AI22)</f>
        <v>265.345</v>
      </c>
      <c r="AK22" s="41">
        <f t="shared" si="4"/>
        <v>-1718.493</v>
      </c>
      <c r="AL22" s="7"/>
      <c r="AM22" s="66" t="s">
        <v>25</v>
      </c>
      <c r="AN22" s="67">
        <f>$AJ$29+$AJ$31</f>
        <v>222.655</v>
      </c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19302.411</v>
      </c>
      <c r="D23" s="43">
        <f t="shared" si="6"/>
        <v>0</v>
      </c>
      <c r="E23" s="43">
        <f t="shared" si="6"/>
        <v>0</v>
      </c>
      <c r="F23" s="43">
        <f t="shared" si="6"/>
        <v>136.382</v>
      </c>
      <c r="G23" s="43">
        <f t="shared" si="6"/>
        <v>280.89500000000004</v>
      </c>
      <c r="H23" s="43">
        <f t="shared" si="6"/>
        <v>0</v>
      </c>
      <c r="I23" s="43">
        <f t="shared" si="6"/>
        <v>573.3199999999999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4631.532</v>
      </c>
      <c r="O23" s="43">
        <f t="shared" si="6"/>
        <v>0</v>
      </c>
      <c r="P23" s="43">
        <f t="shared" si="6"/>
        <v>279.77900000000005</v>
      </c>
      <c r="Q23" s="43">
        <f t="shared" si="6"/>
        <v>0</v>
      </c>
      <c r="R23" s="43">
        <f t="shared" si="6"/>
        <v>0</v>
      </c>
      <c r="S23" s="43">
        <f t="shared" si="6"/>
        <v>0</v>
      </c>
      <c r="T23" s="43">
        <f t="shared" si="6"/>
        <v>76.40899999999999</v>
      </c>
      <c r="U23" s="43">
        <f t="shared" si="6"/>
        <v>67.71799999999999</v>
      </c>
      <c r="V23" s="43">
        <f t="shared" si="6"/>
        <v>0</v>
      </c>
      <c r="W23" s="43">
        <f t="shared" si="6"/>
        <v>2676.3</v>
      </c>
      <c r="X23" s="43">
        <f t="shared" si="6"/>
        <v>0</v>
      </c>
      <c r="Y23" s="43">
        <f t="shared" si="6"/>
        <v>0</v>
      </c>
      <c r="Z23" s="43">
        <f t="shared" si="6"/>
        <v>0</v>
      </c>
      <c r="AA23" s="43">
        <f t="shared" si="6"/>
        <v>2677.639</v>
      </c>
      <c r="AB23" s="43">
        <f t="shared" si="6"/>
        <v>549.9969999999998</v>
      </c>
      <c r="AC23" s="43">
        <f t="shared" si="6"/>
        <v>0</v>
      </c>
      <c r="AD23" s="43">
        <f t="shared" si="6"/>
        <v>8.638</v>
      </c>
      <c r="AE23" s="43">
        <f t="shared" si="6"/>
        <v>0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11958.609000000004</v>
      </c>
      <c r="AK23" s="41">
        <f t="shared" si="4"/>
        <v>-7343.801999999996</v>
      </c>
      <c r="AL23" s="2"/>
      <c r="AM23" s="66" t="s">
        <v>26</v>
      </c>
      <c r="AN23" s="67">
        <f>$AJ$32+$AJ$33+$AJ$36+$AJ$41+$AJ$45+$AJ$35+$AJ$34</f>
        <v>1266.599</v>
      </c>
      <c r="AO23" s="3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f>10584.134+154.6</f>
        <v>10738.734</v>
      </c>
      <c r="D24" s="45"/>
      <c r="E24" s="17"/>
      <c r="F24" s="17"/>
      <c r="G24" s="17">
        <v>85.211</v>
      </c>
      <c r="H24" s="17"/>
      <c r="I24" s="17">
        <v>0.628</v>
      </c>
      <c r="J24" s="17"/>
      <c r="K24" s="17"/>
      <c r="L24" s="17"/>
      <c r="M24" s="17"/>
      <c r="N24" s="22">
        <f>1875.42+18.48+1606.835</f>
        <v>3500.735</v>
      </c>
      <c r="O24" s="17"/>
      <c r="P24" s="17">
        <f>100.406+2.616+65.7</f>
        <v>168.722</v>
      </c>
      <c r="Q24" s="17"/>
      <c r="R24" s="17"/>
      <c r="S24" s="17"/>
      <c r="T24" s="17"/>
      <c r="U24" s="17"/>
      <c r="V24" s="17"/>
      <c r="W24" s="17">
        <v>2337</v>
      </c>
      <c r="X24" s="17"/>
      <c r="Y24" s="17"/>
      <c r="Z24" s="17"/>
      <c r="AA24" s="17">
        <f>1357.163+1.734+28.803+1113.029+19.98</f>
        <v>2520.7090000000003</v>
      </c>
      <c r="AB24" s="17">
        <f>385.592+159.338</f>
        <v>544.93</v>
      </c>
      <c r="AC24" s="17"/>
      <c r="AD24" s="22">
        <v>7.638</v>
      </c>
      <c r="AE24" s="22"/>
      <c r="AF24" s="22"/>
      <c r="AG24" s="22"/>
      <c r="AH24" s="17"/>
      <c r="AI24" s="17"/>
      <c r="AJ24" s="17">
        <f>SUM(E24:AI24)</f>
        <v>9165.573000000002</v>
      </c>
      <c r="AK24" s="41">
        <f t="shared" si="4"/>
        <v>-1573.1609999999982</v>
      </c>
      <c r="AL24" s="7"/>
      <c r="AM24" s="66" t="s">
        <v>27</v>
      </c>
      <c r="AN24" s="67">
        <f>$AJ$66+$AJ$69+$AJ$76+$AJ$62+$AJ$64</f>
        <v>1686.978</v>
      </c>
      <c r="AP24" s="8"/>
    </row>
    <row r="25" spans="2:42" ht="15.75">
      <c r="B25" s="44" t="s">
        <v>28</v>
      </c>
      <c r="C25" s="45">
        <v>13.215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>
        <v>1.034</v>
      </c>
      <c r="U25" s="17"/>
      <c r="V25" s="17"/>
      <c r="W25" s="17"/>
      <c r="X25" s="17"/>
      <c r="Y25" s="17"/>
      <c r="Z25" s="17"/>
      <c r="AA25" s="17"/>
      <c r="AB25" s="17">
        <v>0.92</v>
      </c>
      <c r="AC25" s="17"/>
      <c r="AD25" s="22"/>
      <c r="AE25" s="22"/>
      <c r="AF25" s="22"/>
      <c r="AG25" s="22"/>
      <c r="AH25" s="17"/>
      <c r="AI25" s="17"/>
      <c r="AJ25" s="17">
        <f>SUM(E25:AI25)</f>
        <v>1.9540000000000002</v>
      </c>
      <c r="AK25" s="41">
        <f t="shared" si="4"/>
        <v>-11.261</v>
      </c>
      <c r="AL25" s="7"/>
      <c r="AM25" s="66" t="s">
        <v>29</v>
      </c>
      <c r="AN25" s="67">
        <f>$AJ$52</f>
        <v>608.309</v>
      </c>
      <c r="AP25" s="8"/>
    </row>
    <row r="26" spans="2:42" ht="15.75">
      <c r="B26" s="44" t="s">
        <v>30</v>
      </c>
      <c r="C26" s="45">
        <v>1170.549</v>
      </c>
      <c r="D26" s="45"/>
      <c r="E26" s="17"/>
      <c r="F26" s="17">
        <v>12.682</v>
      </c>
      <c r="G26" s="17">
        <v>44.023</v>
      </c>
      <c r="H26" s="17"/>
      <c r="I26" s="17">
        <v>51.439</v>
      </c>
      <c r="J26" s="17"/>
      <c r="K26" s="17"/>
      <c r="L26" s="17"/>
      <c r="M26" s="17"/>
      <c r="N26" s="22">
        <v>93.889</v>
      </c>
      <c r="O26" s="17"/>
      <c r="P26" s="17">
        <v>54.313</v>
      </c>
      <c r="Q26" s="17"/>
      <c r="R26" s="17"/>
      <c r="S26" s="17"/>
      <c r="T26" s="17">
        <v>60.237</v>
      </c>
      <c r="U26" s="17">
        <v>5.539</v>
      </c>
      <c r="V26" s="17"/>
      <c r="W26" s="17">
        <v>43.3</v>
      </c>
      <c r="X26" s="17"/>
      <c r="Y26" s="17"/>
      <c r="Z26" s="17"/>
      <c r="AA26" s="17">
        <v>25.079</v>
      </c>
      <c r="AB26" s="17"/>
      <c r="AC26" s="17"/>
      <c r="AD26" s="22"/>
      <c r="AE26" s="22"/>
      <c r="AF26" s="22"/>
      <c r="AG26" s="22"/>
      <c r="AH26" s="17"/>
      <c r="AI26" s="17"/>
      <c r="AJ26" s="17">
        <f>SUM(E26:AI26)</f>
        <v>390.50100000000003</v>
      </c>
      <c r="AK26" s="41">
        <f t="shared" si="4"/>
        <v>-780.048</v>
      </c>
      <c r="AL26" s="7"/>
      <c r="AM26" s="66" t="s">
        <v>31</v>
      </c>
      <c r="AN26" s="67">
        <f>$AJ$56</f>
        <v>473.22</v>
      </c>
      <c r="AP26" s="8"/>
    </row>
    <row r="27" spans="2:42" ht="15.75">
      <c r="B27" s="44" t="s">
        <v>22</v>
      </c>
      <c r="C27" s="45">
        <f>5561.825-20</f>
        <v>5541.825</v>
      </c>
      <c r="D27" s="45"/>
      <c r="E27" s="17"/>
      <c r="F27" s="17">
        <v>91.001</v>
      </c>
      <c r="G27" s="17">
        <v>55.068</v>
      </c>
      <c r="H27" s="17"/>
      <c r="I27" s="17">
        <v>490.588</v>
      </c>
      <c r="J27" s="17"/>
      <c r="K27" s="17"/>
      <c r="L27" s="17"/>
      <c r="M27" s="17"/>
      <c r="N27" s="22">
        <v>976.186</v>
      </c>
      <c r="O27" s="17"/>
      <c r="P27" s="17">
        <v>36.413</v>
      </c>
      <c r="Q27" s="17"/>
      <c r="R27" s="17"/>
      <c r="S27" s="17"/>
      <c r="T27" s="17">
        <v>4.969</v>
      </c>
      <c r="U27" s="17">
        <v>0.957</v>
      </c>
      <c r="V27" s="17"/>
      <c r="W27" s="17">
        <v>8.7</v>
      </c>
      <c r="X27" s="17"/>
      <c r="Y27" s="17"/>
      <c r="Z27" s="17"/>
      <c r="AA27" s="17">
        <v>17.41</v>
      </c>
      <c r="AB27" s="17">
        <v>2.857</v>
      </c>
      <c r="AC27" s="17"/>
      <c r="AD27" s="22"/>
      <c r="AE27" s="22"/>
      <c r="AF27" s="22"/>
      <c r="AG27" s="22"/>
      <c r="AH27" s="17"/>
      <c r="AI27" s="17"/>
      <c r="AJ27" s="17">
        <f>SUM(E27:AI27)</f>
        <v>1684.1490000000003</v>
      </c>
      <c r="AK27" s="41">
        <f t="shared" si="4"/>
        <v>-3857.6759999999995</v>
      </c>
      <c r="AL27" s="7"/>
      <c r="AM27" s="66" t="s">
        <v>32</v>
      </c>
      <c r="AN27" s="67">
        <f>$AJ$49+$AJ$73+$AJ$79+$AJ$80+$AJ$84+$AJ$75+$AJ$77+$AJ$81+$AJ$82+$AJ$83+$AJ$78</f>
        <v>2553.5319999999997</v>
      </c>
      <c r="AP27" s="8"/>
    </row>
    <row r="28" spans="2:42" ht="15.75">
      <c r="B28" s="44" t="s">
        <v>24</v>
      </c>
      <c r="C28" s="45">
        <f>1831.626+6.462</f>
        <v>1838.088</v>
      </c>
      <c r="D28" s="45"/>
      <c r="E28" s="17"/>
      <c r="F28" s="17">
        <v>32.699</v>
      </c>
      <c r="G28" s="17">
        <v>96.593</v>
      </c>
      <c r="H28" s="17"/>
      <c r="I28" s="17">
        <v>30.665</v>
      </c>
      <c r="J28" s="17"/>
      <c r="K28" s="17"/>
      <c r="L28" s="17"/>
      <c r="M28" s="17"/>
      <c r="N28" s="17">
        <f>35.578+25.144</f>
        <v>60.722</v>
      </c>
      <c r="O28" s="17"/>
      <c r="P28" s="17">
        <f>14.733+5.598</f>
        <v>20.331</v>
      </c>
      <c r="Q28" s="17"/>
      <c r="R28" s="17"/>
      <c r="S28" s="17"/>
      <c r="T28" s="17">
        <v>10.169</v>
      </c>
      <c r="U28" s="17">
        <f>57.928+3.294</f>
        <v>61.221999999999994</v>
      </c>
      <c r="V28" s="17"/>
      <c r="W28" s="17">
        <v>287.3</v>
      </c>
      <c r="X28" s="17"/>
      <c r="Y28" s="17"/>
      <c r="Z28" s="17"/>
      <c r="AA28" s="17">
        <v>114.441</v>
      </c>
      <c r="AB28" s="17">
        <v>1.29</v>
      </c>
      <c r="AC28" s="17"/>
      <c r="AD28" s="17">
        <v>1</v>
      </c>
      <c r="AE28" s="17"/>
      <c r="AF28" s="17"/>
      <c r="AG28" s="17"/>
      <c r="AH28" s="17"/>
      <c r="AI28" s="17"/>
      <c r="AJ28" s="17">
        <f>SUM(E28:AI28)</f>
        <v>716.432</v>
      </c>
      <c r="AK28" s="41">
        <f t="shared" si="4"/>
        <v>-1121.656</v>
      </c>
      <c r="AL28" s="7"/>
      <c r="AM28" s="68"/>
      <c r="AN28" s="69"/>
      <c r="AP28" s="8"/>
    </row>
    <row r="29" spans="2:42" ht="29.25">
      <c r="B29" s="42" t="s">
        <v>33</v>
      </c>
      <c r="C29" s="43">
        <f>C30</f>
        <v>500.759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27.599</v>
      </c>
      <c r="G29" s="43">
        <f t="shared" si="7"/>
        <v>0</v>
      </c>
      <c r="H29" s="43">
        <f t="shared" si="7"/>
        <v>0</v>
      </c>
      <c r="I29" s="43">
        <f t="shared" si="7"/>
        <v>34.277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36.948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82.231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4.1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37.5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222.655</v>
      </c>
      <c r="AK29" s="41">
        <f t="shared" si="4"/>
        <v>-278.10400000000004</v>
      </c>
      <c r="AL29" s="7"/>
      <c r="AM29" s="9"/>
      <c r="AN29" s="46"/>
      <c r="AP29" s="8"/>
    </row>
    <row r="30" spans="2:40" ht="15.75">
      <c r="B30" s="47" t="s">
        <v>34</v>
      </c>
      <c r="C30" s="34">
        <f>350.759+150</f>
        <v>500.759</v>
      </c>
      <c r="D30" s="34"/>
      <c r="E30" s="22"/>
      <c r="F30" s="22">
        <v>27.599</v>
      </c>
      <c r="G30" s="22"/>
      <c r="H30" s="22"/>
      <c r="I30" s="22">
        <v>34.277</v>
      </c>
      <c r="J30" s="22"/>
      <c r="K30" s="22"/>
      <c r="L30" s="22"/>
      <c r="M30" s="22"/>
      <c r="N30" s="22">
        <f>1.198+35.75</f>
        <v>36.948</v>
      </c>
      <c r="O30" s="22"/>
      <c r="P30" s="22"/>
      <c r="Q30" s="22"/>
      <c r="R30" s="22"/>
      <c r="S30" s="22">
        <v>82.231</v>
      </c>
      <c r="T30" s="22"/>
      <c r="U30" s="22"/>
      <c r="V30" s="22"/>
      <c r="W30" s="22">
        <v>4.1</v>
      </c>
      <c r="X30" s="22"/>
      <c r="Y30" s="22"/>
      <c r="Z30" s="22"/>
      <c r="AA30" s="22">
        <v>37.5</v>
      </c>
      <c r="AB30" s="22"/>
      <c r="AC30" s="22"/>
      <c r="AD30" s="22"/>
      <c r="AE30" s="22"/>
      <c r="AF30" s="22"/>
      <c r="AG30" s="22"/>
      <c r="AH30" s="34"/>
      <c r="AI30" s="34"/>
      <c r="AJ30" s="17">
        <f aca="true" t="shared" si="8" ref="AJ30:AJ35">SUM(E30:AI30)</f>
        <v>222.655</v>
      </c>
      <c r="AK30" s="41">
        <f t="shared" si="4"/>
        <v>-278.10400000000004</v>
      </c>
      <c r="AN30" s="48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 t="shared" si="8"/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f>628.58-9.8</f>
        <v>618.7800000000001</v>
      </c>
      <c r="D32" s="43"/>
      <c r="E32" s="43"/>
      <c r="F32" s="43"/>
      <c r="G32" s="43">
        <v>2.027</v>
      </c>
      <c r="H32" s="43"/>
      <c r="I32" s="43">
        <v>2.771</v>
      </c>
      <c r="J32" s="43"/>
      <c r="K32" s="43"/>
      <c r="L32" s="43"/>
      <c r="M32" s="43"/>
      <c r="N32" s="43"/>
      <c r="O32" s="43"/>
      <c r="P32" s="43">
        <v>1.2</v>
      </c>
      <c r="Q32" s="43"/>
      <c r="R32" s="43"/>
      <c r="S32" s="43"/>
      <c r="T32" s="43">
        <v>7.484</v>
      </c>
      <c r="U32" s="43"/>
      <c r="V32" s="43"/>
      <c r="W32" s="43">
        <v>1.3</v>
      </c>
      <c r="X32" s="43"/>
      <c r="Y32" s="43"/>
      <c r="Z32" s="43"/>
      <c r="AA32" s="43"/>
      <c r="AB32" s="43">
        <v>182.15</v>
      </c>
      <c r="AC32" s="43"/>
      <c r="AD32" s="43"/>
      <c r="AE32" s="43"/>
      <c r="AF32" s="43"/>
      <c r="AG32" s="43"/>
      <c r="AH32" s="43"/>
      <c r="AI32" s="43"/>
      <c r="AJ32" s="43">
        <f t="shared" si="8"/>
        <v>196.93200000000002</v>
      </c>
      <c r="AK32" s="41">
        <f t="shared" si="4"/>
        <v>-421.84800000000007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233.495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>
        <v>105.945</v>
      </c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 t="shared" si="8"/>
        <v>105.945</v>
      </c>
      <c r="AK33" s="41">
        <f t="shared" si="4"/>
        <v>-127.55000000000001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30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 t="shared" si="8"/>
        <v>0</v>
      </c>
      <c r="AK34" s="41">
        <f t="shared" si="4"/>
        <v>-30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57.75">
      <c r="B35" s="42" t="s">
        <v>40</v>
      </c>
      <c r="C35" s="43">
        <v>78.316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 t="shared" si="8"/>
        <v>0</v>
      </c>
      <c r="AK35" s="41">
        <f t="shared" si="4"/>
        <v>-78.316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9" ref="C36:AJ36">SUM(C37:C40)</f>
        <v>825.4549999999999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43.956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0</v>
      </c>
      <c r="N36" s="43">
        <f t="shared" si="9"/>
        <v>174.07899999999998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4.64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484.08199999999994</v>
      </c>
      <c r="AB36" s="43">
        <f t="shared" si="9"/>
        <v>0</v>
      </c>
      <c r="AC36" s="43">
        <f t="shared" si="9"/>
        <v>0</v>
      </c>
      <c r="AD36" s="43">
        <f t="shared" si="9"/>
        <v>0</v>
      </c>
      <c r="AE36" s="43">
        <f t="shared" si="9"/>
        <v>0</v>
      </c>
      <c r="AF36" s="43">
        <f t="shared" si="9"/>
        <v>0</v>
      </c>
      <c r="AG36" s="43">
        <f t="shared" si="9"/>
        <v>0</v>
      </c>
      <c r="AH36" s="43">
        <f t="shared" si="9"/>
        <v>0</v>
      </c>
      <c r="AI36" s="43">
        <f t="shared" si="9"/>
        <v>0</v>
      </c>
      <c r="AJ36" s="43">
        <f t="shared" si="9"/>
        <v>706.7570000000001</v>
      </c>
      <c r="AK36" s="41">
        <f t="shared" si="4"/>
        <v>-118.69799999999987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690.459</v>
      </c>
      <c r="D37" s="45"/>
      <c r="E37" s="17"/>
      <c r="F37" s="17"/>
      <c r="G37" s="17">
        <v>22.167</v>
      </c>
      <c r="H37" s="17"/>
      <c r="I37" s="17"/>
      <c r="J37" s="17"/>
      <c r="K37" s="17"/>
      <c r="L37" s="17"/>
      <c r="M37" s="17"/>
      <c r="N37" s="22">
        <v>159.678</v>
      </c>
      <c r="O37" s="17"/>
      <c r="P37" s="17"/>
      <c r="Q37" s="17"/>
      <c r="R37" s="17"/>
      <c r="S37" s="17"/>
      <c r="T37" s="17">
        <v>4.172</v>
      </c>
      <c r="U37" s="17"/>
      <c r="V37" s="50"/>
      <c r="W37" s="17"/>
      <c r="X37" s="17"/>
      <c r="Y37" s="17"/>
      <c r="Z37" s="50"/>
      <c r="AA37" s="17">
        <v>466.407</v>
      </c>
      <c r="AB37" s="17"/>
      <c r="AC37" s="17"/>
      <c r="AD37" s="22"/>
      <c r="AE37" s="22"/>
      <c r="AF37" s="22"/>
      <c r="AG37" s="22"/>
      <c r="AH37" s="17"/>
      <c r="AI37" s="17"/>
      <c r="AJ37" s="17">
        <f>SUM(E37:AI37)</f>
        <v>652.424</v>
      </c>
      <c r="AK37" s="41">
        <f t="shared" si="4"/>
        <v>-38.03499999999997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1.814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SUM(E38:AI38)</f>
        <v>0</v>
      </c>
      <c r="AK38" s="41">
        <f t="shared" si="4"/>
        <v>-1.814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94.97</v>
      </c>
      <c r="D39" s="45"/>
      <c r="E39" s="17"/>
      <c r="F39" s="17"/>
      <c r="G39" s="17">
        <v>16.143</v>
      </c>
      <c r="H39" s="17"/>
      <c r="I39" s="17"/>
      <c r="J39" s="17"/>
      <c r="K39" s="17"/>
      <c r="L39" s="17"/>
      <c r="M39" s="17"/>
      <c r="N39" s="17">
        <v>11.719</v>
      </c>
      <c r="O39" s="17"/>
      <c r="P39" s="17"/>
      <c r="Q39" s="17"/>
      <c r="R39" s="17"/>
      <c r="S39" s="17"/>
      <c r="T39" s="17">
        <v>0.193</v>
      </c>
      <c r="U39" s="17"/>
      <c r="V39" s="50"/>
      <c r="W39" s="17"/>
      <c r="X39" s="17"/>
      <c r="Y39" s="17"/>
      <c r="Z39" s="50"/>
      <c r="AA39" s="17">
        <v>1.049</v>
      </c>
      <c r="AB39" s="17"/>
      <c r="AC39" s="17"/>
      <c r="AD39" s="22"/>
      <c r="AE39" s="22"/>
      <c r="AF39" s="22"/>
      <c r="AG39" s="22"/>
      <c r="AH39" s="17"/>
      <c r="AI39" s="17"/>
      <c r="AJ39" s="17">
        <f>SUM(E39:AI39)</f>
        <v>29.104000000000003</v>
      </c>
      <c r="AK39" s="41">
        <f t="shared" si="4"/>
        <v>-65.866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38.212</v>
      </c>
      <c r="D40" s="45"/>
      <c r="E40" s="17"/>
      <c r="F40" s="17"/>
      <c r="G40" s="17">
        <v>5.646</v>
      </c>
      <c r="H40" s="17"/>
      <c r="I40" s="17"/>
      <c r="J40" s="17"/>
      <c r="K40" s="17"/>
      <c r="L40" s="17"/>
      <c r="M40" s="17"/>
      <c r="N40" s="17">
        <v>2.682</v>
      </c>
      <c r="O40" s="17"/>
      <c r="P40" s="17"/>
      <c r="Q40" s="17"/>
      <c r="R40" s="17"/>
      <c r="S40" s="17"/>
      <c r="T40" s="17">
        <v>0.275</v>
      </c>
      <c r="U40" s="17"/>
      <c r="V40" s="17"/>
      <c r="W40" s="17"/>
      <c r="X40" s="17"/>
      <c r="Y40" s="17"/>
      <c r="Z40" s="17"/>
      <c r="AA40" s="17">
        <v>16.626</v>
      </c>
      <c r="AB40" s="17"/>
      <c r="AC40" s="17"/>
      <c r="AD40" s="17"/>
      <c r="AE40" s="17"/>
      <c r="AF40" s="17"/>
      <c r="AG40" s="17"/>
      <c r="AH40" s="17"/>
      <c r="AI40" s="17"/>
      <c r="AJ40" s="17">
        <f>SUM(E40:AI40)</f>
        <v>25.229</v>
      </c>
      <c r="AK40" s="41">
        <f t="shared" si="4"/>
        <v>-12.983000000000004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10" ref="C41:AJ41">SUM(C42:C44)</f>
        <v>346.511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2.06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55.641999999999996</v>
      </c>
      <c r="O41" s="43">
        <f t="shared" si="10"/>
        <v>0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t="shared" si="10"/>
        <v>3.0020000000000002</v>
      </c>
      <c r="U41" s="43">
        <f t="shared" si="10"/>
        <v>0</v>
      </c>
      <c r="V41" s="43">
        <f t="shared" si="10"/>
        <v>0</v>
      </c>
      <c r="W41" s="43">
        <f t="shared" si="10"/>
        <v>0</v>
      </c>
      <c r="X41" s="43">
        <f t="shared" si="10"/>
        <v>0</v>
      </c>
      <c r="Y41" s="43">
        <f t="shared" si="10"/>
        <v>0</v>
      </c>
      <c r="Z41" s="43">
        <f t="shared" si="10"/>
        <v>0</v>
      </c>
      <c r="AA41" s="43">
        <f t="shared" si="10"/>
        <v>108.815</v>
      </c>
      <c r="AB41" s="43">
        <f t="shared" si="10"/>
        <v>0</v>
      </c>
      <c r="AC41" s="43">
        <f t="shared" si="10"/>
        <v>0</v>
      </c>
      <c r="AD41" s="43">
        <f t="shared" si="10"/>
        <v>0</v>
      </c>
      <c r="AE41" s="43">
        <f t="shared" si="10"/>
        <v>0</v>
      </c>
      <c r="AF41" s="43">
        <f t="shared" si="10"/>
        <v>0</v>
      </c>
      <c r="AG41" s="43">
        <f t="shared" si="10"/>
        <v>0</v>
      </c>
      <c r="AH41" s="43">
        <f t="shared" si="10"/>
        <v>0</v>
      </c>
      <c r="AI41" s="43">
        <f t="shared" si="10"/>
        <v>0</v>
      </c>
      <c r="AJ41" s="43">
        <f t="shared" si="10"/>
        <v>169.519</v>
      </c>
      <c r="AK41" s="41">
        <f t="shared" si="4"/>
        <v>-176.99200000000002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298.927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>
        <v>40.405</v>
      </c>
      <c r="O42" s="17"/>
      <c r="P42" s="17"/>
      <c r="Q42" s="17"/>
      <c r="R42" s="17"/>
      <c r="S42" s="17"/>
      <c r="T42" s="17"/>
      <c r="U42" s="17"/>
      <c r="V42" s="50"/>
      <c r="W42" s="17"/>
      <c r="X42" s="17"/>
      <c r="Y42" s="17"/>
      <c r="Z42" s="50"/>
      <c r="AA42" s="17">
        <f>108.815</f>
        <v>108.815</v>
      </c>
      <c r="AB42" s="17"/>
      <c r="AC42" s="17"/>
      <c r="AD42" s="22"/>
      <c r="AE42" s="22"/>
      <c r="AF42" s="22"/>
      <c r="AG42" s="22"/>
      <c r="AH42" s="17"/>
      <c r="AI42" s="17"/>
      <c r="AJ42" s="17">
        <f>SUM(E42:AI42)</f>
        <v>149.22</v>
      </c>
      <c r="AK42" s="41">
        <f t="shared" si="4"/>
        <v>-149.70700000000002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33.027</v>
      </c>
      <c r="D43" s="45"/>
      <c r="E43" s="17"/>
      <c r="F43" s="17"/>
      <c r="G43" s="17">
        <v>1.1</v>
      </c>
      <c r="H43" s="17"/>
      <c r="I43" s="17"/>
      <c r="J43" s="17"/>
      <c r="K43" s="17"/>
      <c r="L43" s="17"/>
      <c r="M43" s="17"/>
      <c r="N43" s="22">
        <v>11.769</v>
      </c>
      <c r="O43" s="17"/>
      <c r="P43" s="17"/>
      <c r="Q43" s="17"/>
      <c r="R43" s="17"/>
      <c r="S43" s="17"/>
      <c r="T43" s="17">
        <v>0.169</v>
      </c>
      <c r="U43" s="17"/>
      <c r="V43" s="17"/>
      <c r="W43" s="17"/>
      <c r="X43" s="17"/>
      <c r="Y43" s="17"/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SUM(E43:AI43)</f>
        <v>13.038</v>
      </c>
      <c r="AK43" s="41">
        <f t="shared" si="4"/>
        <v>-19.989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14.557</v>
      </c>
      <c r="D44" s="45"/>
      <c r="E44" s="17"/>
      <c r="F44" s="17"/>
      <c r="G44" s="17">
        <v>0.96</v>
      </c>
      <c r="H44" s="17"/>
      <c r="I44" s="17"/>
      <c r="J44" s="17"/>
      <c r="K44" s="17"/>
      <c r="L44" s="17"/>
      <c r="M44" s="17"/>
      <c r="N44" s="17">
        <v>3.468</v>
      </c>
      <c r="O44" s="17"/>
      <c r="P44" s="17"/>
      <c r="Q44" s="17"/>
      <c r="R44" s="17"/>
      <c r="S44" s="17"/>
      <c r="T44" s="17">
        <v>2.833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>SUM(E44:AI44)</f>
        <v>7.261</v>
      </c>
      <c r="AK44" s="41">
        <f t="shared" si="4"/>
        <v>-7.296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1" ref="C45:AH45">SUM(C46:C48)</f>
        <v>162.639</v>
      </c>
      <c r="D45" s="43">
        <f t="shared" si="11"/>
        <v>0</v>
      </c>
      <c r="E45" s="43">
        <f t="shared" si="11"/>
        <v>0</v>
      </c>
      <c r="F45" s="43">
        <f t="shared" si="11"/>
        <v>0</v>
      </c>
      <c r="G45" s="43">
        <f t="shared" si="11"/>
        <v>0</v>
      </c>
      <c r="H45" s="43">
        <f t="shared" si="11"/>
        <v>0</v>
      </c>
      <c r="I45" s="43">
        <f t="shared" si="11"/>
        <v>50.188</v>
      </c>
      <c r="J45" s="43">
        <f t="shared" si="11"/>
        <v>0</v>
      </c>
      <c r="K45" s="43">
        <f t="shared" si="11"/>
        <v>0</v>
      </c>
      <c r="L45" s="43">
        <f t="shared" si="11"/>
        <v>0</v>
      </c>
      <c r="M45" s="43">
        <f t="shared" si="11"/>
        <v>0</v>
      </c>
      <c r="N45" s="43">
        <f t="shared" si="11"/>
        <v>0</v>
      </c>
      <c r="O45" s="43">
        <f t="shared" si="11"/>
        <v>0</v>
      </c>
      <c r="P45" s="43">
        <f t="shared" si="11"/>
        <v>0</v>
      </c>
      <c r="Q45" s="43">
        <f t="shared" si="11"/>
        <v>0</v>
      </c>
      <c r="R45" s="43">
        <f t="shared" si="11"/>
        <v>0</v>
      </c>
      <c r="S45" s="43">
        <f t="shared" si="11"/>
        <v>0</v>
      </c>
      <c r="T45" s="43">
        <f t="shared" si="11"/>
        <v>0</v>
      </c>
      <c r="U45" s="43">
        <f t="shared" si="11"/>
        <v>0</v>
      </c>
      <c r="V45" s="43">
        <f t="shared" si="11"/>
        <v>0</v>
      </c>
      <c r="W45" s="43">
        <f t="shared" si="11"/>
        <v>0</v>
      </c>
      <c r="X45" s="43">
        <f t="shared" si="11"/>
        <v>0</v>
      </c>
      <c r="Y45" s="43">
        <f t="shared" si="11"/>
        <v>0</v>
      </c>
      <c r="Z45" s="43">
        <f t="shared" si="11"/>
        <v>0</v>
      </c>
      <c r="AA45" s="43">
        <f t="shared" si="11"/>
        <v>37.258</v>
      </c>
      <c r="AB45" s="43">
        <f t="shared" si="11"/>
        <v>0</v>
      </c>
      <c r="AC45" s="43">
        <f t="shared" si="11"/>
        <v>0</v>
      </c>
      <c r="AD45" s="43">
        <f t="shared" si="11"/>
        <v>0</v>
      </c>
      <c r="AE45" s="43">
        <f t="shared" si="11"/>
        <v>0</v>
      </c>
      <c r="AF45" s="43">
        <f t="shared" si="11"/>
        <v>0</v>
      </c>
      <c r="AG45" s="43">
        <f t="shared" si="11"/>
        <v>0</v>
      </c>
      <c r="AH45" s="43">
        <f t="shared" si="11"/>
        <v>0</v>
      </c>
      <c r="AI45" s="43">
        <f>SUM(AI46:AI48)</f>
        <v>0</v>
      </c>
      <c r="AJ45" s="43">
        <f>SUM(E45:AH45)</f>
        <v>87.446</v>
      </c>
      <c r="AK45" s="41">
        <f t="shared" si="4"/>
        <v>-75.19300000000001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148.916</v>
      </c>
      <c r="D46" s="45"/>
      <c r="E46" s="17"/>
      <c r="F46" s="17"/>
      <c r="G46" s="17"/>
      <c r="H46" s="17"/>
      <c r="I46" s="17">
        <v>46.602</v>
      </c>
      <c r="J46" s="17"/>
      <c r="K46" s="17"/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>
        <v>36.898</v>
      </c>
      <c r="AB46" s="17"/>
      <c r="AC46" s="17"/>
      <c r="AD46" s="22"/>
      <c r="AE46" s="22"/>
      <c r="AF46" s="22"/>
      <c r="AG46" s="22"/>
      <c r="AH46" s="22"/>
      <c r="AI46" s="22"/>
      <c r="AJ46" s="17">
        <f>SUM(E46:AI46)</f>
        <v>83.5</v>
      </c>
      <c r="AK46" s="41">
        <f t="shared" si="4"/>
        <v>-65.416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10.723</v>
      </c>
      <c r="D47" s="45"/>
      <c r="E47" s="17"/>
      <c r="F47" s="17"/>
      <c r="G47" s="17"/>
      <c r="H47" s="17"/>
      <c r="I47" s="17">
        <v>3.517</v>
      </c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SUM(E47:AI47)</f>
        <v>3.517</v>
      </c>
      <c r="AK47" s="41">
        <f t="shared" si="4"/>
        <v>-7.206000000000001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3</v>
      </c>
      <c r="D48" s="45"/>
      <c r="E48" s="17"/>
      <c r="F48" s="17"/>
      <c r="G48" s="17"/>
      <c r="H48" s="17"/>
      <c r="I48" s="17">
        <v>0.069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v>0.36</v>
      </c>
      <c r="AB48" s="17"/>
      <c r="AC48" s="17"/>
      <c r="AD48" s="17"/>
      <c r="AE48" s="17"/>
      <c r="AF48" s="17"/>
      <c r="AG48" s="17"/>
      <c r="AH48" s="17"/>
      <c r="AI48" s="17"/>
      <c r="AJ48" s="17">
        <f>SUM(E48:AI48)</f>
        <v>0.429</v>
      </c>
      <c r="AK48" s="41">
        <f t="shared" si="4"/>
        <v>-2.571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18.3</v>
      </c>
      <c r="D49" s="43">
        <f aca="true" t="shared" si="12" ref="D49:AH49">D50+D51</f>
        <v>0</v>
      </c>
      <c r="E49" s="43">
        <f t="shared" si="12"/>
        <v>0</v>
      </c>
      <c r="F49" s="43">
        <f t="shared" si="12"/>
        <v>0</v>
      </c>
      <c r="G49" s="43">
        <f t="shared" si="12"/>
        <v>0</v>
      </c>
      <c r="H49" s="43">
        <f t="shared" si="12"/>
        <v>0</v>
      </c>
      <c r="I49" s="43">
        <f t="shared" si="12"/>
        <v>0</v>
      </c>
      <c r="J49" s="43">
        <f t="shared" si="12"/>
        <v>0</v>
      </c>
      <c r="K49" s="43">
        <f t="shared" si="12"/>
        <v>0</v>
      </c>
      <c r="L49" s="43">
        <f t="shared" si="12"/>
        <v>0</v>
      </c>
      <c r="M49" s="43">
        <f t="shared" si="12"/>
        <v>0</v>
      </c>
      <c r="N49" s="43">
        <f t="shared" si="12"/>
        <v>0</v>
      </c>
      <c r="O49" s="43">
        <f t="shared" si="12"/>
        <v>0</v>
      </c>
      <c r="P49" s="43">
        <f t="shared" si="12"/>
        <v>0</v>
      </c>
      <c r="Q49" s="43">
        <f t="shared" si="12"/>
        <v>0</v>
      </c>
      <c r="R49" s="43">
        <f t="shared" si="12"/>
        <v>0</v>
      </c>
      <c r="S49" s="43">
        <f t="shared" si="12"/>
        <v>0</v>
      </c>
      <c r="T49" s="43">
        <f t="shared" si="12"/>
        <v>0</v>
      </c>
      <c r="U49" s="43">
        <f t="shared" si="12"/>
        <v>0</v>
      </c>
      <c r="V49" s="43">
        <f t="shared" si="12"/>
        <v>0</v>
      </c>
      <c r="W49" s="43">
        <f t="shared" si="12"/>
        <v>0</v>
      </c>
      <c r="X49" s="43">
        <f t="shared" si="12"/>
        <v>0</v>
      </c>
      <c r="Y49" s="43">
        <f t="shared" si="12"/>
        <v>0</v>
      </c>
      <c r="Z49" s="43">
        <f t="shared" si="12"/>
        <v>0</v>
      </c>
      <c r="AA49" s="43">
        <f t="shared" si="12"/>
        <v>1.318</v>
      </c>
      <c r="AB49" s="43">
        <f t="shared" si="12"/>
        <v>0</v>
      </c>
      <c r="AC49" s="43">
        <f t="shared" si="12"/>
        <v>0</v>
      </c>
      <c r="AD49" s="43">
        <f t="shared" si="12"/>
        <v>0</v>
      </c>
      <c r="AE49" s="43">
        <f t="shared" si="12"/>
        <v>0</v>
      </c>
      <c r="AF49" s="43">
        <f t="shared" si="12"/>
        <v>0</v>
      </c>
      <c r="AG49" s="43">
        <f t="shared" si="12"/>
        <v>0</v>
      </c>
      <c r="AH49" s="43">
        <f t="shared" si="12"/>
        <v>0</v>
      </c>
      <c r="AI49" s="43">
        <f>AI50+AI51</f>
        <v>0</v>
      </c>
      <c r="AJ49" s="43">
        <f>SUM(E49:AH49)</f>
        <v>1.318</v>
      </c>
      <c r="AK49" s="41">
        <f t="shared" si="4"/>
        <v>-16.982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0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SUM(E50:AI50)</f>
        <v>0</v>
      </c>
      <c r="AK50" s="41">
        <f t="shared" si="4"/>
        <v>0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18.3</v>
      </c>
      <c r="D51" s="3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>
        <v>1.318</v>
      </c>
      <c r="AB51" s="22"/>
      <c r="AC51" s="22"/>
      <c r="AD51" s="22"/>
      <c r="AE51" s="22"/>
      <c r="AF51" s="22"/>
      <c r="AG51" s="22"/>
      <c r="AH51" s="22"/>
      <c r="AI51" s="22"/>
      <c r="AJ51" s="17">
        <f>SUM(E51:AI51)</f>
        <v>1.318</v>
      </c>
      <c r="AK51" s="41">
        <f t="shared" si="4"/>
        <v>-16.982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3" ref="C52:AJ52">SUM(C53:C55)</f>
        <v>1106.3899999999999</v>
      </c>
      <c r="D52" s="43">
        <f t="shared" si="13"/>
        <v>0</v>
      </c>
      <c r="E52" s="43">
        <f t="shared" si="13"/>
        <v>0</v>
      </c>
      <c r="F52" s="43">
        <f t="shared" si="13"/>
        <v>0</v>
      </c>
      <c r="G52" s="43">
        <f t="shared" si="13"/>
        <v>5.551</v>
      </c>
      <c r="H52" s="43">
        <f t="shared" si="13"/>
        <v>0</v>
      </c>
      <c r="I52" s="43">
        <f t="shared" si="13"/>
        <v>2.904</v>
      </c>
      <c r="J52" s="43">
        <f t="shared" si="13"/>
        <v>0</v>
      </c>
      <c r="K52" s="43">
        <f t="shared" si="13"/>
        <v>0</v>
      </c>
      <c r="L52" s="43">
        <f t="shared" si="13"/>
        <v>0</v>
      </c>
      <c r="M52" s="43">
        <f t="shared" si="13"/>
        <v>0</v>
      </c>
      <c r="N52" s="43">
        <f t="shared" si="13"/>
        <v>240.29900000000004</v>
      </c>
      <c r="O52" s="43">
        <f t="shared" si="13"/>
        <v>0</v>
      </c>
      <c r="P52" s="43">
        <f t="shared" si="13"/>
        <v>7.654</v>
      </c>
      <c r="Q52" s="43">
        <f t="shared" si="13"/>
        <v>0</v>
      </c>
      <c r="R52" s="43">
        <f t="shared" si="13"/>
        <v>0</v>
      </c>
      <c r="S52" s="43">
        <f t="shared" si="13"/>
        <v>0</v>
      </c>
      <c r="T52" s="43">
        <f t="shared" si="13"/>
        <v>13.019</v>
      </c>
      <c r="U52" s="43">
        <f t="shared" si="13"/>
        <v>6.515</v>
      </c>
      <c r="V52" s="43">
        <f t="shared" si="13"/>
        <v>0</v>
      </c>
      <c r="W52" s="43">
        <f t="shared" si="13"/>
        <v>0</v>
      </c>
      <c r="X52" s="43">
        <f t="shared" si="13"/>
        <v>0</v>
      </c>
      <c r="Y52" s="43">
        <f t="shared" si="13"/>
        <v>0</v>
      </c>
      <c r="Z52" s="43">
        <f t="shared" si="13"/>
        <v>0</v>
      </c>
      <c r="AA52" s="43">
        <f t="shared" si="13"/>
        <v>332.367</v>
      </c>
      <c r="AB52" s="43">
        <f t="shared" si="13"/>
        <v>0</v>
      </c>
      <c r="AC52" s="43">
        <f t="shared" si="13"/>
        <v>0</v>
      </c>
      <c r="AD52" s="43">
        <f t="shared" si="13"/>
        <v>0</v>
      </c>
      <c r="AE52" s="43">
        <f t="shared" si="13"/>
        <v>0</v>
      </c>
      <c r="AF52" s="43">
        <f t="shared" si="13"/>
        <v>0</v>
      </c>
      <c r="AG52" s="43">
        <f t="shared" si="13"/>
        <v>0</v>
      </c>
      <c r="AH52" s="43">
        <f t="shared" si="13"/>
        <v>0</v>
      </c>
      <c r="AI52" s="43">
        <f t="shared" si="13"/>
        <v>0</v>
      </c>
      <c r="AJ52" s="43">
        <f t="shared" si="13"/>
        <v>608.309</v>
      </c>
      <c r="AK52" s="41">
        <f t="shared" si="4"/>
        <v>-498.0809999999999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716.675</v>
      </c>
      <c r="D53" s="45"/>
      <c r="E53" s="17"/>
      <c r="F53" s="17"/>
      <c r="G53" s="17"/>
      <c r="H53" s="17"/>
      <c r="I53" s="17"/>
      <c r="J53" s="17"/>
      <c r="K53" s="17"/>
      <c r="L53" s="17"/>
      <c r="M53" s="17"/>
      <c r="N53" s="22">
        <v>164.93</v>
      </c>
      <c r="O53" s="17"/>
      <c r="P53" s="17">
        <v>6.914</v>
      </c>
      <c r="Q53" s="17"/>
      <c r="R53" s="17"/>
      <c r="S53" s="17"/>
      <c r="T53" s="17"/>
      <c r="U53" s="17">
        <v>6.028</v>
      </c>
      <c r="V53" s="50"/>
      <c r="W53" s="17"/>
      <c r="X53" s="17"/>
      <c r="Y53" s="17"/>
      <c r="Z53" s="50"/>
      <c r="AA53" s="17">
        <v>332.367</v>
      </c>
      <c r="AB53" s="17"/>
      <c r="AC53" s="17"/>
      <c r="AD53" s="22"/>
      <c r="AE53" s="22"/>
      <c r="AF53" s="22"/>
      <c r="AG53" s="22"/>
      <c r="AH53" s="17"/>
      <c r="AI53" s="17"/>
      <c r="AJ53" s="17">
        <f>SUM(E53:AI53)</f>
        <v>510.23900000000003</v>
      </c>
      <c r="AK53" s="41">
        <f t="shared" si="4"/>
        <v>-206.43599999999992</v>
      </c>
    </row>
    <row r="54" spans="2:37" ht="15.75">
      <c r="B54" s="44" t="s">
        <v>22</v>
      </c>
      <c r="C54" s="45">
        <v>292.081</v>
      </c>
      <c r="D54" s="45"/>
      <c r="E54" s="17"/>
      <c r="F54" s="17"/>
      <c r="G54" s="17">
        <v>3.551</v>
      </c>
      <c r="H54" s="17"/>
      <c r="I54" s="17">
        <v>2.904</v>
      </c>
      <c r="J54" s="17"/>
      <c r="K54" s="17"/>
      <c r="L54" s="17"/>
      <c r="M54" s="17"/>
      <c r="N54" s="22">
        <v>70.79</v>
      </c>
      <c r="O54" s="17"/>
      <c r="P54" s="17"/>
      <c r="Q54" s="17"/>
      <c r="R54" s="17"/>
      <c r="S54" s="17"/>
      <c r="T54" s="17">
        <v>13.019</v>
      </c>
      <c r="U54" s="17">
        <v>0.487</v>
      </c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SUM(E54:AI54)</f>
        <v>90.751</v>
      </c>
      <c r="AK54" s="41">
        <f t="shared" si="4"/>
        <v>-201.33</v>
      </c>
    </row>
    <row r="55" spans="2:38" ht="15.75">
      <c r="B55" s="44" t="s">
        <v>24</v>
      </c>
      <c r="C55" s="45">
        <v>97.634</v>
      </c>
      <c r="D55" s="45"/>
      <c r="E55" s="17"/>
      <c r="F55" s="17"/>
      <c r="G55" s="17">
        <v>2</v>
      </c>
      <c r="H55" s="17"/>
      <c r="I55" s="17"/>
      <c r="J55" s="17"/>
      <c r="K55" s="17"/>
      <c r="L55" s="17"/>
      <c r="M55" s="17"/>
      <c r="N55" s="17">
        <v>4.579</v>
      </c>
      <c r="O55" s="17"/>
      <c r="P55" s="17">
        <v>0.74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SUM(E55:AI55)</f>
        <v>7.319</v>
      </c>
      <c r="AK55" s="41">
        <f t="shared" si="4"/>
        <v>-90.315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837.7459999999999</v>
      </c>
      <c r="D56" s="43">
        <f aca="true" t="shared" si="14" ref="D56:AJ56">SUM(D57:D61)</f>
        <v>0</v>
      </c>
      <c r="E56" s="43">
        <f t="shared" si="14"/>
        <v>0</v>
      </c>
      <c r="F56" s="43">
        <f t="shared" si="14"/>
        <v>0</v>
      </c>
      <c r="G56" s="43">
        <f t="shared" si="14"/>
        <v>11.473</v>
      </c>
      <c r="H56" s="43">
        <f t="shared" si="14"/>
        <v>0</v>
      </c>
      <c r="I56" s="43">
        <f t="shared" si="14"/>
        <v>51.022000000000006</v>
      </c>
      <c r="J56" s="43">
        <f t="shared" si="14"/>
        <v>0</v>
      </c>
      <c r="K56" s="43">
        <f t="shared" si="14"/>
        <v>0</v>
      </c>
      <c r="L56" s="43">
        <f t="shared" si="14"/>
        <v>0</v>
      </c>
      <c r="M56" s="43">
        <f t="shared" si="14"/>
        <v>0</v>
      </c>
      <c r="N56" s="43">
        <f t="shared" si="14"/>
        <v>135.302</v>
      </c>
      <c r="O56" s="43">
        <f t="shared" si="14"/>
        <v>0</v>
      </c>
      <c r="P56" s="43">
        <f t="shared" si="14"/>
        <v>3.209</v>
      </c>
      <c r="Q56" s="43">
        <f t="shared" si="14"/>
        <v>0</v>
      </c>
      <c r="R56" s="43">
        <f t="shared" si="14"/>
        <v>0</v>
      </c>
      <c r="S56" s="43">
        <f t="shared" si="14"/>
        <v>0</v>
      </c>
      <c r="T56" s="43">
        <f t="shared" si="14"/>
        <v>16.214</v>
      </c>
      <c r="U56" s="43">
        <f t="shared" si="14"/>
        <v>0</v>
      </c>
      <c r="V56" s="43">
        <f t="shared" si="14"/>
        <v>0</v>
      </c>
      <c r="W56" s="43">
        <f t="shared" si="14"/>
        <v>256</v>
      </c>
      <c r="X56" s="43">
        <f t="shared" si="14"/>
        <v>0</v>
      </c>
      <c r="Y56" s="43">
        <f t="shared" si="14"/>
        <v>0</v>
      </c>
      <c r="Z56" s="43">
        <f t="shared" si="14"/>
        <v>0</v>
      </c>
      <c r="AA56" s="43">
        <f t="shared" si="14"/>
        <v>0</v>
      </c>
      <c r="AB56" s="43">
        <f t="shared" si="14"/>
        <v>0</v>
      </c>
      <c r="AC56" s="43">
        <f t="shared" si="14"/>
        <v>0</v>
      </c>
      <c r="AD56" s="43">
        <f t="shared" si="14"/>
        <v>0</v>
      </c>
      <c r="AE56" s="43">
        <f t="shared" si="14"/>
        <v>0</v>
      </c>
      <c r="AF56" s="43">
        <f t="shared" si="14"/>
        <v>0</v>
      </c>
      <c r="AG56" s="43">
        <f t="shared" si="14"/>
        <v>0</v>
      </c>
      <c r="AH56" s="43">
        <f t="shared" si="14"/>
        <v>0</v>
      </c>
      <c r="AI56" s="43">
        <f>SUM(AI57:AI61)</f>
        <v>0</v>
      </c>
      <c r="AJ56" s="43">
        <f t="shared" si="14"/>
        <v>473.22</v>
      </c>
      <c r="AK56" s="41">
        <f t="shared" si="4"/>
        <v>-364.52599999999984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f>473.804-10</f>
        <v>463.804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>
        <v>121.85</v>
      </c>
      <c r="O57" s="17"/>
      <c r="P57" s="17"/>
      <c r="Q57" s="17"/>
      <c r="R57" s="17"/>
      <c r="S57" s="17"/>
      <c r="T57" s="17"/>
      <c r="U57" s="17"/>
      <c r="V57" s="50"/>
      <c r="W57" s="17">
        <v>230</v>
      </c>
      <c r="X57" s="17"/>
      <c r="Y57" s="17"/>
      <c r="Z57" s="50"/>
      <c r="AA57" s="17"/>
      <c r="AB57" s="17"/>
      <c r="AC57" s="17"/>
      <c r="AD57" s="22"/>
      <c r="AE57" s="22"/>
      <c r="AF57" s="22"/>
      <c r="AG57" s="22"/>
      <c r="AH57" s="17"/>
      <c r="AI57" s="17"/>
      <c r="AJ57" s="17">
        <f>SUM(E57:AI57)</f>
        <v>351.85</v>
      </c>
      <c r="AK57" s="41">
        <f t="shared" si="4"/>
        <v>-111.95399999999995</v>
      </c>
    </row>
    <row r="58" spans="2:37" ht="15.75">
      <c r="B58" s="44" t="s">
        <v>28</v>
      </c>
      <c r="C58" s="45">
        <v>1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>
        <v>0.24</v>
      </c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SUM(E58:AI58)</f>
        <v>0.24</v>
      </c>
      <c r="AK58" s="41">
        <f t="shared" si="4"/>
        <v>-0.76</v>
      </c>
    </row>
    <row r="59" spans="2:37" ht="15.75">
      <c r="B59" s="44" t="s">
        <v>22</v>
      </c>
      <c r="C59" s="45">
        <v>153.909</v>
      </c>
      <c r="D59" s="45"/>
      <c r="E59" s="17"/>
      <c r="F59" s="17"/>
      <c r="G59" s="17"/>
      <c r="H59" s="17"/>
      <c r="I59" s="17">
        <v>22.934</v>
      </c>
      <c r="J59" s="17"/>
      <c r="K59" s="17"/>
      <c r="L59" s="17"/>
      <c r="M59" s="17"/>
      <c r="N59" s="22">
        <v>5.422</v>
      </c>
      <c r="O59" s="17"/>
      <c r="P59" s="17"/>
      <c r="Q59" s="17"/>
      <c r="R59" s="17"/>
      <c r="S59" s="17"/>
      <c r="T59" s="17">
        <v>-1.226</v>
      </c>
      <c r="U59" s="17"/>
      <c r="V59" s="50"/>
      <c r="W59" s="17">
        <v>0.7</v>
      </c>
      <c r="X59" s="17"/>
      <c r="Y59" s="17"/>
      <c r="Z59" s="17"/>
      <c r="AA59" s="17"/>
      <c r="AB59" s="17"/>
      <c r="AC59" s="17"/>
      <c r="AD59" s="22"/>
      <c r="AE59" s="22"/>
      <c r="AF59" s="22"/>
      <c r="AG59" s="22"/>
      <c r="AH59" s="17"/>
      <c r="AI59" s="17"/>
      <c r="AJ59" s="17">
        <f>SUM(E59:AI59)</f>
        <v>27.830000000000002</v>
      </c>
      <c r="AK59" s="41">
        <f t="shared" si="4"/>
        <v>-126.079</v>
      </c>
    </row>
    <row r="60" spans="2:37" ht="15.75">
      <c r="B60" s="44" t="s">
        <v>34</v>
      </c>
      <c r="C60" s="45">
        <v>39.199</v>
      </c>
      <c r="D60" s="45"/>
      <c r="E60" s="17"/>
      <c r="F60" s="17"/>
      <c r="G60" s="17">
        <v>11.473</v>
      </c>
      <c r="H60" s="17"/>
      <c r="I60" s="17"/>
      <c r="J60" s="17"/>
      <c r="K60" s="17"/>
      <c r="L60" s="17"/>
      <c r="M60" s="17"/>
      <c r="N60" s="22">
        <v>5</v>
      </c>
      <c r="O60" s="17"/>
      <c r="P60" s="17"/>
      <c r="Q60" s="17"/>
      <c r="R60" s="17"/>
      <c r="S60" s="17"/>
      <c r="T60" s="17"/>
      <c r="U60" s="17"/>
      <c r="V60" s="17"/>
      <c r="W60" s="17">
        <v>15.4</v>
      </c>
      <c r="X60" s="17"/>
      <c r="Y60" s="17"/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SUM(E60:AI60)</f>
        <v>31.872999999999998</v>
      </c>
      <c r="AK60" s="41">
        <f t="shared" si="4"/>
        <v>-7.3260000000000005</v>
      </c>
    </row>
    <row r="61" spans="2:37" ht="15.75">
      <c r="B61" s="44" t="s">
        <v>24</v>
      </c>
      <c r="C61" s="45">
        <v>179.834</v>
      </c>
      <c r="D61" s="45"/>
      <c r="E61" s="17"/>
      <c r="F61" s="17"/>
      <c r="G61" s="17"/>
      <c r="H61" s="17"/>
      <c r="I61" s="17">
        <v>28.088</v>
      </c>
      <c r="J61" s="17"/>
      <c r="K61" s="17"/>
      <c r="L61" s="17"/>
      <c r="M61" s="17"/>
      <c r="N61" s="17">
        <v>3.03</v>
      </c>
      <c r="O61" s="17"/>
      <c r="P61" s="17">
        <v>3.209</v>
      </c>
      <c r="Q61" s="17"/>
      <c r="R61" s="17"/>
      <c r="S61" s="17"/>
      <c r="T61" s="17">
        <v>17.2</v>
      </c>
      <c r="U61" s="17"/>
      <c r="V61" s="17"/>
      <c r="W61" s="17">
        <v>9.9</v>
      </c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>
        <f>SUM(E61:AI61)</f>
        <v>61.427</v>
      </c>
      <c r="AK61" s="41">
        <f t="shared" si="4"/>
        <v>-118.40700000000001</v>
      </c>
    </row>
    <row r="62" spans="2:37" ht="43.5" hidden="1">
      <c r="B62" s="42" t="s">
        <v>48</v>
      </c>
      <c r="C62" s="43">
        <f>C63</f>
        <v>0</v>
      </c>
      <c r="D62" s="43"/>
      <c r="E62" s="43">
        <f>E63</f>
        <v>0</v>
      </c>
      <c r="F62" s="43">
        <f aca="true" t="shared" si="15" ref="F62:AH62">F63</f>
        <v>0</v>
      </c>
      <c r="G62" s="43">
        <f t="shared" si="15"/>
        <v>0</v>
      </c>
      <c r="H62" s="43">
        <f t="shared" si="15"/>
        <v>0</v>
      </c>
      <c r="I62" s="43">
        <f t="shared" si="15"/>
        <v>0</v>
      </c>
      <c r="J62" s="43"/>
      <c r="K62" s="43"/>
      <c r="L62" s="43"/>
      <c r="M62" s="43">
        <f t="shared" si="15"/>
        <v>0</v>
      </c>
      <c r="N62" s="43">
        <f t="shared" si="15"/>
        <v>0</v>
      </c>
      <c r="O62" s="43">
        <f t="shared" si="15"/>
        <v>0</v>
      </c>
      <c r="P62" s="43">
        <f t="shared" si="15"/>
        <v>0</v>
      </c>
      <c r="Q62" s="43"/>
      <c r="R62" s="43"/>
      <c r="S62" s="43">
        <f t="shared" si="15"/>
        <v>0</v>
      </c>
      <c r="T62" s="43">
        <f t="shared" si="15"/>
        <v>0</v>
      </c>
      <c r="U62" s="43">
        <f t="shared" si="15"/>
        <v>0</v>
      </c>
      <c r="V62" s="43">
        <f t="shared" si="15"/>
        <v>0</v>
      </c>
      <c r="W62" s="43">
        <f t="shared" si="15"/>
        <v>0</v>
      </c>
      <c r="X62" s="43"/>
      <c r="Y62" s="43"/>
      <c r="Z62" s="43">
        <f t="shared" si="15"/>
        <v>0</v>
      </c>
      <c r="AA62" s="43">
        <f t="shared" si="15"/>
        <v>0</v>
      </c>
      <c r="AB62" s="43">
        <f t="shared" si="15"/>
        <v>0</v>
      </c>
      <c r="AC62" s="43">
        <f t="shared" si="15"/>
        <v>0</v>
      </c>
      <c r="AD62" s="43">
        <f t="shared" si="15"/>
        <v>0</v>
      </c>
      <c r="AE62" s="43"/>
      <c r="AF62" s="43"/>
      <c r="AG62" s="43">
        <f t="shared" si="15"/>
        <v>0</v>
      </c>
      <c r="AH62" s="43">
        <f t="shared" si="15"/>
        <v>0</v>
      </c>
      <c r="AI62" s="43">
        <f>AI63</f>
        <v>0</v>
      </c>
      <c r="AJ62" s="43">
        <f>AJ63</f>
        <v>0</v>
      </c>
      <c r="AK62" s="41">
        <f t="shared" si="4"/>
        <v>0</v>
      </c>
    </row>
    <row r="63" spans="2:37" ht="15.75" hidden="1">
      <c r="B63" s="44" t="s">
        <v>34</v>
      </c>
      <c r="C63" s="45">
        <v>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SUM(E63:AI63)</f>
        <v>0</v>
      </c>
      <c r="AK63" s="41">
        <f t="shared" si="4"/>
        <v>0</v>
      </c>
    </row>
    <row r="64" spans="2:37" ht="72" hidden="1">
      <c r="B64" s="42" t="s">
        <v>70</v>
      </c>
      <c r="C64" s="43">
        <f>C65</f>
        <v>0</v>
      </c>
      <c r="D64" s="43"/>
      <c r="E64" s="43">
        <f aca="true" t="shared" si="16" ref="E64:AG64">E65</f>
        <v>0</v>
      </c>
      <c r="F64" s="43">
        <f t="shared" si="16"/>
        <v>0</v>
      </c>
      <c r="G64" s="43">
        <f t="shared" si="16"/>
        <v>0</v>
      </c>
      <c r="H64" s="43">
        <f t="shared" si="16"/>
        <v>0</v>
      </c>
      <c r="I64" s="43">
        <f t="shared" si="16"/>
        <v>0</v>
      </c>
      <c r="J64" s="43"/>
      <c r="K64" s="43"/>
      <c r="L64" s="43"/>
      <c r="M64" s="43">
        <f t="shared" si="16"/>
        <v>0</v>
      </c>
      <c r="N64" s="43">
        <f t="shared" si="16"/>
        <v>0</v>
      </c>
      <c r="O64" s="43">
        <f t="shared" si="16"/>
        <v>0</v>
      </c>
      <c r="P64" s="43">
        <f t="shared" si="16"/>
        <v>0</v>
      </c>
      <c r="Q64" s="43"/>
      <c r="R64" s="43"/>
      <c r="S64" s="43">
        <f t="shared" si="16"/>
        <v>0</v>
      </c>
      <c r="T64" s="43">
        <f t="shared" si="16"/>
        <v>0</v>
      </c>
      <c r="U64" s="43">
        <f t="shared" si="16"/>
        <v>0</v>
      </c>
      <c r="V64" s="43">
        <f t="shared" si="16"/>
        <v>0</v>
      </c>
      <c r="W64" s="43">
        <f t="shared" si="16"/>
        <v>0</v>
      </c>
      <c r="X64" s="43"/>
      <c r="Y64" s="43"/>
      <c r="Z64" s="43">
        <f t="shared" si="16"/>
        <v>0</v>
      </c>
      <c r="AA64" s="43">
        <f t="shared" si="16"/>
        <v>0</v>
      </c>
      <c r="AB64" s="43">
        <f t="shared" si="16"/>
        <v>0</v>
      </c>
      <c r="AC64" s="43">
        <f t="shared" si="16"/>
        <v>0</v>
      </c>
      <c r="AD64" s="43">
        <f t="shared" si="16"/>
        <v>0</v>
      </c>
      <c r="AE64" s="43"/>
      <c r="AF64" s="43"/>
      <c r="AG64" s="43">
        <f t="shared" si="16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3179.598</v>
      </c>
      <c r="D66" s="43">
        <f aca="true" t="shared" si="17" ref="D66:AJ66">D67+D68</f>
        <v>0</v>
      </c>
      <c r="E66" s="43">
        <f t="shared" si="17"/>
        <v>0</v>
      </c>
      <c r="F66" s="43">
        <f t="shared" si="17"/>
        <v>0</v>
      </c>
      <c r="G66" s="43">
        <f t="shared" si="17"/>
        <v>687.042</v>
      </c>
      <c r="H66" s="43">
        <f t="shared" si="17"/>
        <v>0</v>
      </c>
      <c r="I66" s="43">
        <f t="shared" si="17"/>
        <v>67.238</v>
      </c>
      <c r="J66" s="43">
        <f t="shared" si="17"/>
        <v>0</v>
      </c>
      <c r="K66" s="43">
        <f t="shared" si="17"/>
        <v>0</v>
      </c>
      <c r="L66" s="43">
        <f t="shared" si="17"/>
        <v>0</v>
      </c>
      <c r="M66" s="43">
        <f t="shared" si="17"/>
        <v>0</v>
      </c>
      <c r="N66" s="43">
        <f t="shared" si="17"/>
        <v>0</v>
      </c>
      <c r="O66" s="43">
        <f t="shared" si="17"/>
        <v>0</v>
      </c>
      <c r="P66" s="43">
        <f t="shared" si="17"/>
        <v>122.152</v>
      </c>
      <c r="Q66" s="43">
        <f t="shared" si="17"/>
        <v>0</v>
      </c>
      <c r="R66" s="43">
        <f t="shared" si="17"/>
        <v>0</v>
      </c>
      <c r="S66" s="43">
        <f t="shared" si="17"/>
        <v>0</v>
      </c>
      <c r="T66" s="43">
        <f t="shared" si="17"/>
        <v>65.918</v>
      </c>
      <c r="U66" s="43">
        <f t="shared" si="17"/>
        <v>629.7</v>
      </c>
      <c r="V66" s="43">
        <f t="shared" si="17"/>
        <v>0</v>
      </c>
      <c r="W66" s="43">
        <f t="shared" si="17"/>
        <v>0</v>
      </c>
      <c r="X66" s="43">
        <f t="shared" si="17"/>
        <v>0</v>
      </c>
      <c r="Y66" s="43">
        <f t="shared" si="17"/>
        <v>0</v>
      </c>
      <c r="Z66" s="43">
        <f t="shared" si="17"/>
        <v>0</v>
      </c>
      <c r="AA66" s="43">
        <f t="shared" si="17"/>
        <v>86.384</v>
      </c>
      <c r="AB66" s="43">
        <f t="shared" si="17"/>
        <v>0</v>
      </c>
      <c r="AC66" s="43">
        <f t="shared" si="17"/>
        <v>0</v>
      </c>
      <c r="AD66" s="43">
        <f t="shared" si="17"/>
        <v>3.02</v>
      </c>
      <c r="AE66" s="43">
        <f t="shared" si="17"/>
        <v>0</v>
      </c>
      <c r="AF66" s="43">
        <f t="shared" si="17"/>
        <v>0</v>
      </c>
      <c r="AG66" s="43">
        <f t="shared" si="17"/>
        <v>0</v>
      </c>
      <c r="AH66" s="43">
        <f t="shared" si="17"/>
        <v>0</v>
      </c>
      <c r="AI66" s="43">
        <f>AI67+AI68</f>
        <v>0</v>
      </c>
      <c r="AJ66" s="43">
        <f t="shared" si="17"/>
        <v>1661.4540000000002</v>
      </c>
      <c r="AK66" s="41">
        <f t="shared" si="4"/>
        <v>-1518.1439999999998</v>
      </c>
    </row>
    <row r="67" spans="2:37" ht="15.75">
      <c r="B67" s="56" t="s">
        <v>50</v>
      </c>
      <c r="C67" s="34">
        <f>370-50</f>
        <v>320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>
        <v>3.02</v>
      </c>
      <c r="AE67" s="22"/>
      <c r="AF67" s="22"/>
      <c r="AG67" s="22"/>
      <c r="AH67" s="22"/>
      <c r="AI67" s="22"/>
      <c r="AJ67" s="22">
        <f>SUM(E67:AI67)</f>
        <v>3.02</v>
      </c>
      <c r="AK67" s="41">
        <f t="shared" si="4"/>
        <v>-316.98</v>
      </c>
    </row>
    <row r="68" spans="2:37" ht="15.75">
      <c r="B68" s="56" t="s">
        <v>34</v>
      </c>
      <c r="C68" s="34">
        <v>2859.598</v>
      </c>
      <c r="D68" s="34"/>
      <c r="E68" s="22"/>
      <c r="F68" s="22"/>
      <c r="G68" s="22">
        <v>687.042</v>
      </c>
      <c r="H68" s="22"/>
      <c r="I68" s="22">
        <v>67.238</v>
      </c>
      <c r="J68" s="22"/>
      <c r="K68" s="22"/>
      <c r="L68" s="22"/>
      <c r="M68" s="22"/>
      <c r="N68" s="22"/>
      <c r="O68" s="22"/>
      <c r="P68" s="22">
        <v>122.152</v>
      </c>
      <c r="Q68" s="22"/>
      <c r="R68" s="22"/>
      <c r="S68" s="22"/>
      <c r="T68" s="22">
        <v>65.918</v>
      </c>
      <c r="U68" s="22">
        <v>629.7</v>
      </c>
      <c r="V68" s="22"/>
      <c r="W68" s="22"/>
      <c r="X68" s="22"/>
      <c r="Y68" s="22"/>
      <c r="Z68" s="22"/>
      <c r="AA68" s="22">
        <v>86.384</v>
      </c>
      <c r="AB68" s="22"/>
      <c r="AC68" s="22"/>
      <c r="AD68" s="22"/>
      <c r="AE68" s="22"/>
      <c r="AF68" s="22"/>
      <c r="AG68" s="22"/>
      <c r="AH68" s="22"/>
      <c r="AI68" s="22"/>
      <c r="AJ68" s="22">
        <f>SUM(E68:AI68)</f>
        <v>1658.4340000000002</v>
      </c>
      <c r="AK68" s="41">
        <f t="shared" si="4"/>
        <v>-1201.1639999999998</v>
      </c>
    </row>
    <row r="69" spans="2:37" ht="15.75">
      <c r="B69" s="42" t="s">
        <v>51</v>
      </c>
      <c r="C69" s="43">
        <f>C70+C71</f>
        <v>28.923000000000002</v>
      </c>
      <c r="D69" s="43">
        <f aca="true" t="shared" si="18" ref="D69:AJ69">D70+D71</f>
        <v>0</v>
      </c>
      <c r="E69" s="43">
        <f t="shared" si="18"/>
        <v>0</v>
      </c>
      <c r="F69" s="43">
        <f t="shared" si="18"/>
        <v>0</v>
      </c>
      <c r="G69" s="43">
        <f t="shared" si="18"/>
        <v>0</v>
      </c>
      <c r="H69" s="43">
        <f t="shared" si="18"/>
        <v>0</v>
      </c>
      <c r="I69" s="43">
        <f t="shared" si="18"/>
        <v>0</v>
      </c>
      <c r="J69" s="43">
        <f t="shared" si="18"/>
        <v>0</v>
      </c>
      <c r="K69" s="43">
        <f t="shared" si="18"/>
        <v>0</v>
      </c>
      <c r="L69" s="43">
        <f t="shared" si="18"/>
        <v>0</v>
      </c>
      <c r="M69" s="43">
        <f t="shared" si="18"/>
        <v>0</v>
      </c>
      <c r="N69" s="43">
        <f t="shared" si="18"/>
        <v>0</v>
      </c>
      <c r="O69" s="43">
        <f t="shared" si="18"/>
        <v>0</v>
      </c>
      <c r="P69" s="43">
        <f t="shared" si="18"/>
        <v>25.524</v>
      </c>
      <c r="Q69" s="43">
        <f t="shared" si="18"/>
        <v>0</v>
      </c>
      <c r="R69" s="43">
        <f t="shared" si="18"/>
        <v>0</v>
      </c>
      <c r="S69" s="43">
        <f t="shared" si="18"/>
        <v>0</v>
      </c>
      <c r="T69" s="43">
        <f t="shared" si="18"/>
        <v>0</v>
      </c>
      <c r="U69" s="43">
        <f t="shared" si="18"/>
        <v>0</v>
      </c>
      <c r="V69" s="43">
        <f t="shared" si="18"/>
        <v>0</v>
      </c>
      <c r="W69" s="43">
        <f t="shared" si="18"/>
        <v>0</v>
      </c>
      <c r="X69" s="43">
        <f t="shared" si="18"/>
        <v>0</v>
      </c>
      <c r="Y69" s="43">
        <f t="shared" si="18"/>
        <v>0</v>
      </c>
      <c r="Z69" s="43">
        <f t="shared" si="18"/>
        <v>0</v>
      </c>
      <c r="AA69" s="43">
        <f t="shared" si="18"/>
        <v>0</v>
      </c>
      <c r="AB69" s="43">
        <f t="shared" si="18"/>
        <v>0</v>
      </c>
      <c r="AC69" s="43">
        <f t="shared" si="18"/>
        <v>0</v>
      </c>
      <c r="AD69" s="43">
        <f t="shared" si="18"/>
        <v>0</v>
      </c>
      <c r="AE69" s="43">
        <f t="shared" si="18"/>
        <v>0</v>
      </c>
      <c r="AF69" s="43">
        <f t="shared" si="18"/>
        <v>0</v>
      </c>
      <c r="AG69" s="43">
        <f t="shared" si="18"/>
        <v>0</v>
      </c>
      <c r="AH69" s="43">
        <f t="shared" si="18"/>
        <v>0</v>
      </c>
      <c r="AI69" s="43">
        <f t="shared" si="18"/>
        <v>0</v>
      </c>
      <c r="AJ69" s="43">
        <f t="shared" si="18"/>
        <v>25.524</v>
      </c>
      <c r="AK69" s="41">
        <f t="shared" si="4"/>
        <v>-3.399000000000001</v>
      </c>
    </row>
    <row r="70" spans="2:37" ht="15.75">
      <c r="B70" s="44" t="s">
        <v>22</v>
      </c>
      <c r="C70" s="34">
        <f>25+0.6</f>
        <v>25.6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>
        <v>25.524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SUM(E70:AI70)</f>
        <v>25.524</v>
      </c>
      <c r="AK70" s="41">
        <f t="shared" si="4"/>
        <v>-0.07600000000000051</v>
      </c>
    </row>
    <row r="71" spans="2:37" ht="15.75">
      <c r="B71" s="44" t="s">
        <v>34</v>
      </c>
      <c r="C71" s="34">
        <f>3.923-0.6</f>
        <v>3.323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SUM(E71:AI71)</f>
        <v>0</v>
      </c>
      <c r="AK71" s="41">
        <f t="shared" si="4"/>
        <v>-3.323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668.3</v>
      </c>
      <c r="D73" s="43">
        <f aca="true" t="shared" si="19" ref="D73:AJ73">D74</f>
        <v>0</v>
      </c>
      <c r="E73" s="43">
        <f t="shared" si="19"/>
        <v>0</v>
      </c>
      <c r="F73" s="43">
        <f t="shared" si="19"/>
        <v>0</v>
      </c>
      <c r="G73" s="43">
        <f t="shared" si="19"/>
        <v>0</v>
      </c>
      <c r="H73" s="43">
        <f t="shared" si="19"/>
        <v>0</v>
      </c>
      <c r="I73" s="43">
        <f t="shared" si="19"/>
        <v>0</v>
      </c>
      <c r="J73" s="43">
        <f t="shared" si="19"/>
        <v>0</v>
      </c>
      <c r="K73" s="43">
        <f t="shared" si="19"/>
        <v>0</v>
      </c>
      <c r="L73" s="43">
        <f t="shared" si="19"/>
        <v>0</v>
      </c>
      <c r="M73" s="43">
        <f t="shared" si="19"/>
        <v>0</v>
      </c>
      <c r="N73" s="43">
        <f t="shared" si="19"/>
        <v>0</v>
      </c>
      <c r="O73" s="43">
        <f t="shared" si="19"/>
        <v>0</v>
      </c>
      <c r="P73" s="43">
        <f t="shared" si="19"/>
        <v>0</v>
      </c>
      <c r="Q73" s="43">
        <f t="shared" si="19"/>
        <v>0</v>
      </c>
      <c r="R73" s="43">
        <f t="shared" si="19"/>
        <v>0</v>
      </c>
      <c r="S73" s="43">
        <f t="shared" si="19"/>
        <v>0</v>
      </c>
      <c r="T73" s="43">
        <f t="shared" si="19"/>
        <v>0</v>
      </c>
      <c r="U73" s="43">
        <f t="shared" si="19"/>
        <v>0</v>
      </c>
      <c r="V73" s="43">
        <f t="shared" si="19"/>
        <v>0</v>
      </c>
      <c r="W73" s="43">
        <f t="shared" si="19"/>
        <v>0</v>
      </c>
      <c r="X73" s="43">
        <f t="shared" si="19"/>
        <v>0</v>
      </c>
      <c r="Y73" s="43">
        <f t="shared" si="19"/>
        <v>0</v>
      </c>
      <c r="Z73" s="43">
        <f t="shared" si="19"/>
        <v>0</v>
      </c>
      <c r="AA73" s="43">
        <f t="shared" si="19"/>
        <v>0</v>
      </c>
      <c r="AB73" s="43">
        <f t="shared" si="19"/>
        <v>0</v>
      </c>
      <c r="AC73" s="43">
        <f t="shared" si="19"/>
        <v>0</v>
      </c>
      <c r="AD73" s="43">
        <f t="shared" si="19"/>
        <v>0</v>
      </c>
      <c r="AE73" s="43">
        <f t="shared" si="19"/>
        <v>0</v>
      </c>
      <c r="AF73" s="43">
        <f t="shared" si="19"/>
        <v>0</v>
      </c>
      <c r="AG73" s="43">
        <f t="shared" si="19"/>
        <v>0</v>
      </c>
      <c r="AH73" s="43">
        <f t="shared" si="19"/>
        <v>0</v>
      </c>
      <c r="AI73" s="43">
        <f t="shared" si="19"/>
        <v>0</v>
      </c>
      <c r="AJ73" s="43">
        <f t="shared" si="19"/>
        <v>0</v>
      </c>
      <c r="AK73" s="41">
        <f t="shared" si="4"/>
        <v>-668.3</v>
      </c>
      <c r="AL73" s="26"/>
    </row>
    <row r="74" spans="2:49" s="26" customFormat="1" ht="15.75">
      <c r="B74" s="56" t="s">
        <v>50</v>
      </c>
      <c r="C74" s="34">
        <f>700-31.7</f>
        <v>668.3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 aca="true" t="shared" si="20" ref="AJ74:AJ84">SUM(E74:AI74)</f>
        <v>0</v>
      </c>
      <c r="AK74" s="41">
        <f t="shared" si="4"/>
        <v>-668.3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 t="shared" si="20"/>
        <v>0</v>
      </c>
      <c r="AK75" s="41">
        <f t="shared" si="4"/>
        <v>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88.7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t="shared" si="20"/>
        <v>0</v>
      </c>
      <c r="AK76" s="41">
        <f t="shared" si="4"/>
        <v>-88.7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28.5">
      <c r="B77" s="57" t="s">
        <v>56</v>
      </c>
      <c r="C77" s="43">
        <v>20.452</v>
      </c>
      <c r="D77" s="43"/>
      <c r="E77" s="43"/>
      <c r="F77" s="43">
        <v>11.845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20"/>
        <v>11.845</v>
      </c>
      <c r="AK77" s="41">
        <f t="shared" si="4"/>
        <v>-8.607000000000001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334.382</v>
      </c>
      <c r="D78" s="43"/>
      <c r="E78" s="43"/>
      <c r="F78" s="43"/>
      <c r="G78" s="43">
        <v>35.7</v>
      </c>
      <c r="H78" s="43"/>
      <c r="I78" s="43">
        <v>0.636</v>
      </c>
      <c r="J78" s="43"/>
      <c r="K78" s="43"/>
      <c r="L78" s="43"/>
      <c r="M78" s="43"/>
      <c r="N78" s="43">
        <v>63.335</v>
      </c>
      <c r="O78" s="43"/>
      <c r="P78" s="43">
        <v>0.964</v>
      </c>
      <c r="Q78" s="43"/>
      <c r="R78" s="43"/>
      <c r="S78" s="43"/>
      <c r="T78" s="43">
        <v>14.762</v>
      </c>
      <c r="U78" s="43"/>
      <c r="V78" s="43"/>
      <c r="W78" s="43">
        <v>98.9</v>
      </c>
      <c r="X78" s="43"/>
      <c r="Y78" s="43"/>
      <c r="Z78" s="43"/>
      <c r="AA78" s="43">
        <v>0.18</v>
      </c>
      <c r="AB78" s="43"/>
      <c r="AC78" s="43"/>
      <c r="AD78" s="43"/>
      <c r="AE78" s="43"/>
      <c r="AF78" s="43"/>
      <c r="AG78" s="43"/>
      <c r="AH78" s="43"/>
      <c r="AI78" s="43"/>
      <c r="AJ78" s="43">
        <f t="shared" si="20"/>
        <v>214.47700000000003</v>
      </c>
      <c r="AK78" s="41">
        <f t="shared" si="4"/>
        <v>-119.90499999999997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20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f>195-195</f>
        <v>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20"/>
        <v>0</v>
      </c>
      <c r="AK80" s="41">
        <f t="shared" si="4"/>
        <v>0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20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f>150+50</f>
        <v>200</v>
      </c>
      <c r="D82" s="43"/>
      <c r="E82" s="43"/>
      <c r="F82" s="43"/>
      <c r="G82" s="43"/>
      <c r="H82" s="43"/>
      <c r="I82" s="43">
        <v>150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>
        <v>50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20"/>
        <v>200</v>
      </c>
      <c r="AK82" s="41">
        <f aca="true" t="shared" si="21" ref="AK82:AK92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57.75">
      <c r="B83" s="42" t="s">
        <v>61</v>
      </c>
      <c r="C83" s="43">
        <v>150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20"/>
        <v>0</v>
      </c>
      <c r="AK83" s="41">
        <f t="shared" si="21"/>
        <v>-150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43.5">
      <c r="B84" s="42" t="s">
        <v>62</v>
      </c>
      <c r="C84" s="43"/>
      <c r="D84" s="43"/>
      <c r="E84" s="43"/>
      <c r="F84" s="43"/>
      <c r="G84" s="43"/>
      <c r="H84" s="43"/>
      <c r="I84" s="43">
        <v>481.459</v>
      </c>
      <c r="J84" s="43"/>
      <c r="K84" s="43"/>
      <c r="L84" s="43"/>
      <c r="M84" s="43"/>
      <c r="N84" s="43"/>
      <c r="O84" s="43"/>
      <c r="P84" s="43">
        <f>413.579+24.38</f>
        <v>437.959</v>
      </c>
      <c r="Q84" s="43"/>
      <c r="R84" s="43"/>
      <c r="S84" s="43"/>
      <c r="T84" s="43">
        <v>395.811</v>
      </c>
      <c r="U84" s="43">
        <v>112.377</v>
      </c>
      <c r="V84" s="43"/>
      <c r="W84" s="43">
        <v>426</v>
      </c>
      <c r="X84" s="43"/>
      <c r="Y84" s="43"/>
      <c r="Z84" s="43"/>
      <c r="AA84" s="43">
        <v>245.362</v>
      </c>
      <c r="AB84" s="43">
        <v>23</v>
      </c>
      <c r="AC84" s="43"/>
      <c r="AD84" s="43">
        <v>3.924</v>
      </c>
      <c r="AE84" s="43"/>
      <c r="AF84" s="43"/>
      <c r="AG84" s="43"/>
      <c r="AH84" s="43"/>
      <c r="AI84" s="43"/>
      <c r="AJ84" s="43">
        <f t="shared" si="20"/>
        <v>2125.892</v>
      </c>
      <c r="AK84" s="41">
        <f t="shared" si="21"/>
        <v>2125.892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15.75">
      <c r="B85" s="58" t="s">
        <v>63</v>
      </c>
      <c r="C85" s="59">
        <f>SUM(C86:C92)</f>
        <v>37421.156</v>
      </c>
      <c r="D85" s="59">
        <f aca="true" t="shared" si="22" ref="D85:AJ85">SUM(D86:D92)</f>
        <v>0</v>
      </c>
      <c r="E85" s="59">
        <f t="shared" si="22"/>
        <v>0</v>
      </c>
      <c r="F85" s="59">
        <f t="shared" si="22"/>
        <v>216.476</v>
      </c>
      <c r="G85" s="59">
        <f t="shared" si="22"/>
        <v>1202.6260000000002</v>
      </c>
      <c r="H85" s="59">
        <f t="shared" si="22"/>
        <v>0</v>
      </c>
      <c r="I85" s="59">
        <f t="shared" si="22"/>
        <v>1484.818</v>
      </c>
      <c r="J85" s="59">
        <f t="shared" si="22"/>
        <v>0</v>
      </c>
      <c r="K85" s="59">
        <f t="shared" si="22"/>
        <v>0</v>
      </c>
      <c r="L85" s="59">
        <f t="shared" si="22"/>
        <v>0</v>
      </c>
      <c r="M85" s="59">
        <f t="shared" si="22"/>
        <v>0</v>
      </c>
      <c r="N85" s="59">
        <f t="shared" si="22"/>
        <v>8230.235</v>
      </c>
      <c r="O85" s="59">
        <f t="shared" si="22"/>
        <v>0</v>
      </c>
      <c r="P85" s="59">
        <f t="shared" si="22"/>
        <v>1016.4190000000001</v>
      </c>
      <c r="Q85" s="59">
        <f t="shared" si="22"/>
        <v>0</v>
      </c>
      <c r="R85" s="59">
        <f t="shared" si="22"/>
        <v>0</v>
      </c>
      <c r="S85" s="59">
        <f t="shared" si="22"/>
        <v>82.231</v>
      </c>
      <c r="T85" s="59">
        <f t="shared" si="22"/>
        <v>615.436</v>
      </c>
      <c r="U85" s="59">
        <f t="shared" si="22"/>
        <v>820.667</v>
      </c>
      <c r="V85" s="59">
        <f t="shared" si="22"/>
        <v>0</v>
      </c>
      <c r="W85" s="59">
        <f t="shared" si="22"/>
        <v>3581.5000000000005</v>
      </c>
      <c r="X85" s="59">
        <f t="shared" si="22"/>
        <v>0</v>
      </c>
      <c r="Y85" s="59">
        <f t="shared" si="22"/>
        <v>0</v>
      </c>
      <c r="Z85" s="59">
        <f t="shared" si="22"/>
        <v>227.44</v>
      </c>
      <c r="AA85" s="59">
        <f t="shared" si="22"/>
        <v>4250.439</v>
      </c>
      <c r="AB85" s="59">
        <f t="shared" si="22"/>
        <v>1465.9</v>
      </c>
      <c r="AC85" s="59">
        <f t="shared" si="22"/>
        <v>0</v>
      </c>
      <c r="AD85" s="59">
        <f t="shared" si="22"/>
        <v>1672.148</v>
      </c>
      <c r="AE85" s="59">
        <f t="shared" si="22"/>
        <v>0</v>
      </c>
      <c r="AF85" s="59">
        <f t="shared" si="22"/>
        <v>0</v>
      </c>
      <c r="AG85" s="59">
        <f t="shared" si="22"/>
        <v>0</v>
      </c>
      <c r="AH85" s="59">
        <f t="shared" si="22"/>
        <v>0</v>
      </c>
      <c r="AI85" s="59">
        <f t="shared" si="22"/>
        <v>0</v>
      </c>
      <c r="AJ85" s="59">
        <f t="shared" si="22"/>
        <v>24866.335000000003</v>
      </c>
      <c r="AK85" s="41">
        <f t="shared" si="21"/>
        <v>-12554.821</v>
      </c>
      <c r="AL85" s="5"/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1:49" s="8" customFormat="1" ht="15.75">
      <c r="A86" s="5"/>
      <c r="B86" s="44" t="s">
        <v>20</v>
      </c>
      <c r="C86" s="45">
        <f>C20+C37+C42+C46+C50+C53+C57+C24</f>
        <v>18909.019</v>
      </c>
      <c r="D86" s="45">
        <f aca="true" t="shared" si="23" ref="D86:AG86">D20+D37+D42+D46+D50+D53+D57+D24</f>
        <v>0</v>
      </c>
      <c r="E86" s="45">
        <f t="shared" si="23"/>
        <v>0</v>
      </c>
      <c r="F86" s="45">
        <f t="shared" si="23"/>
        <v>15.6</v>
      </c>
      <c r="G86" s="45">
        <f t="shared" si="23"/>
        <v>205.05700000000002</v>
      </c>
      <c r="H86" s="45">
        <f t="shared" si="23"/>
        <v>0</v>
      </c>
      <c r="I86" s="45">
        <f t="shared" si="23"/>
        <v>47.23</v>
      </c>
      <c r="J86" s="45">
        <f t="shared" si="23"/>
        <v>0</v>
      </c>
      <c r="K86" s="45">
        <f t="shared" si="23"/>
        <v>0</v>
      </c>
      <c r="L86" s="45">
        <f t="shared" si="23"/>
        <v>0</v>
      </c>
      <c r="M86" s="45">
        <f t="shared" si="23"/>
        <v>0</v>
      </c>
      <c r="N86" s="45">
        <f t="shared" si="23"/>
        <v>6766.734</v>
      </c>
      <c r="O86" s="45">
        <f t="shared" si="23"/>
        <v>0</v>
      </c>
      <c r="P86" s="45">
        <f t="shared" si="23"/>
        <v>175.636</v>
      </c>
      <c r="Q86" s="45">
        <f t="shared" si="23"/>
        <v>0</v>
      </c>
      <c r="R86" s="45">
        <f t="shared" si="23"/>
        <v>0</v>
      </c>
      <c r="S86" s="45">
        <f t="shared" si="23"/>
        <v>0</v>
      </c>
      <c r="T86" s="45">
        <f t="shared" si="23"/>
        <v>4.172</v>
      </c>
      <c r="U86" s="45">
        <f t="shared" si="23"/>
        <v>6.028</v>
      </c>
      <c r="V86" s="45">
        <f t="shared" si="23"/>
        <v>0</v>
      </c>
      <c r="W86" s="45">
        <f t="shared" si="23"/>
        <v>2630.4</v>
      </c>
      <c r="X86" s="45">
        <f t="shared" si="23"/>
        <v>0</v>
      </c>
      <c r="Y86" s="45">
        <f t="shared" si="23"/>
        <v>0</v>
      </c>
      <c r="Z86" s="45">
        <f t="shared" si="23"/>
        <v>227.395</v>
      </c>
      <c r="AA86" s="45">
        <f t="shared" si="23"/>
        <v>3701.5280000000002</v>
      </c>
      <c r="AB86" s="45">
        <f t="shared" si="23"/>
        <v>1185.73</v>
      </c>
      <c r="AC86" s="45">
        <f t="shared" si="23"/>
        <v>0</v>
      </c>
      <c r="AD86" s="45">
        <f t="shared" si="23"/>
        <v>1663.215</v>
      </c>
      <c r="AE86" s="45">
        <f t="shared" si="23"/>
        <v>0</v>
      </c>
      <c r="AF86" s="45">
        <f t="shared" si="23"/>
        <v>0</v>
      </c>
      <c r="AG86" s="45">
        <f t="shared" si="23"/>
        <v>0</v>
      </c>
      <c r="AH86" s="45">
        <f>AH20+AH37+AH42+AH46+AH50+AH53+AH57+AH24</f>
        <v>0</v>
      </c>
      <c r="AI86" s="45">
        <f>AI20+AI37+AI42+AI46+AI50+AI53+AI57+AI24</f>
        <v>0</v>
      </c>
      <c r="AJ86" s="45">
        <f>AJ20+AJ37+AJ42+AJ46+AJ50+AJ53+AJ57+AJ24</f>
        <v>16628.725000000002</v>
      </c>
      <c r="AK86" s="41">
        <f t="shared" si="21"/>
        <v>-2280.293999999998</v>
      </c>
      <c r="AL86" s="5"/>
      <c r="AP86" s="9"/>
      <c r="AQ86" s="9"/>
      <c r="AR86" s="9"/>
      <c r="AS86" s="9"/>
      <c r="AT86" s="9"/>
      <c r="AU86" s="9"/>
      <c r="AV86" s="9"/>
      <c r="AW86" s="9"/>
    </row>
    <row r="87" spans="1:49" s="8" customFormat="1" ht="15.75">
      <c r="A87" s="5"/>
      <c r="B87" s="44" t="s">
        <v>28</v>
      </c>
      <c r="C87" s="45">
        <f>C25+C38+C58</f>
        <v>16.029</v>
      </c>
      <c r="D87" s="45">
        <f aca="true" t="shared" si="24" ref="D87:AG87">D25+D38+D58</f>
        <v>0</v>
      </c>
      <c r="E87" s="45">
        <f t="shared" si="24"/>
        <v>0</v>
      </c>
      <c r="F87" s="45">
        <f t="shared" si="24"/>
        <v>0</v>
      </c>
      <c r="G87" s="45">
        <f t="shared" si="24"/>
        <v>0</v>
      </c>
      <c r="H87" s="45">
        <f t="shared" si="24"/>
        <v>0</v>
      </c>
      <c r="I87" s="45">
        <f t="shared" si="24"/>
        <v>0</v>
      </c>
      <c r="J87" s="45">
        <f t="shared" si="24"/>
        <v>0</v>
      </c>
      <c r="K87" s="45">
        <f t="shared" si="24"/>
        <v>0</v>
      </c>
      <c r="L87" s="45">
        <f t="shared" si="24"/>
        <v>0</v>
      </c>
      <c r="M87" s="45">
        <f t="shared" si="24"/>
        <v>0</v>
      </c>
      <c r="N87" s="45">
        <f t="shared" si="24"/>
        <v>0</v>
      </c>
      <c r="O87" s="45">
        <f t="shared" si="24"/>
        <v>0</v>
      </c>
      <c r="P87" s="45">
        <f t="shared" si="24"/>
        <v>0</v>
      </c>
      <c r="Q87" s="45">
        <f t="shared" si="24"/>
        <v>0</v>
      </c>
      <c r="R87" s="45">
        <f t="shared" si="24"/>
        <v>0</v>
      </c>
      <c r="S87" s="45">
        <f t="shared" si="24"/>
        <v>0</v>
      </c>
      <c r="T87" s="45">
        <f t="shared" si="24"/>
        <v>1.274</v>
      </c>
      <c r="U87" s="45">
        <f t="shared" si="24"/>
        <v>0</v>
      </c>
      <c r="V87" s="45">
        <f t="shared" si="24"/>
        <v>0</v>
      </c>
      <c r="W87" s="45">
        <f t="shared" si="24"/>
        <v>0</v>
      </c>
      <c r="X87" s="45">
        <f t="shared" si="24"/>
        <v>0</v>
      </c>
      <c r="Y87" s="45">
        <f t="shared" si="24"/>
        <v>0</v>
      </c>
      <c r="Z87" s="45">
        <f t="shared" si="24"/>
        <v>0</v>
      </c>
      <c r="AA87" s="45">
        <f t="shared" si="24"/>
        <v>0</v>
      </c>
      <c r="AB87" s="45">
        <f t="shared" si="24"/>
        <v>0.92</v>
      </c>
      <c r="AC87" s="45">
        <f t="shared" si="24"/>
        <v>0</v>
      </c>
      <c r="AD87" s="45">
        <f t="shared" si="24"/>
        <v>0</v>
      </c>
      <c r="AE87" s="45">
        <f t="shared" si="24"/>
        <v>0</v>
      </c>
      <c r="AF87" s="45">
        <f t="shared" si="24"/>
        <v>0</v>
      </c>
      <c r="AG87" s="45">
        <f t="shared" si="24"/>
        <v>0</v>
      </c>
      <c r="AH87" s="45">
        <f>AH25+AH38+AH58</f>
        <v>0</v>
      </c>
      <c r="AI87" s="45">
        <f>AI25+AI38+AI58</f>
        <v>0</v>
      </c>
      <c r="AJ87" s="45">
        <f>AJ25+AJ38+AJ58</f>
        <v>2.194</v>
      </c>
      <c r="AK87" s="41">
        <f t="shared" si="21"/>
        <v>-13.835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30</v>
      </c>
      <c r="C88" s="45">
        <f>C26</f>
        <v>1170.549</v>
      </c>
      <c r="D88" s="45">
        <f aca="true" t="shared" si="25" ref="D88:AG88">D26</f>
        <v>0</v>
      </c>
      <c r="E88" s="45">
        <f t="shared" si="25"/>
        <v>0</v>
      </c>
      <c r="F88" s="45">
        <f t="shared" si="25"/>
        <v>12.682</v>
      </c>
      <c r="G88" s="45">
        <f t="shared" si="25"/>
        <v>44.023</v>
      </c>
      <c r="H88" s="45">
        <f t="shared" si="25"/>
        <v>0</v>
      </c>
      <c r="I88" s="45">
        <f t="shared" si="25"/>
        <v>51.439</v>
      </c>
      <c r="J88" s="45">
        <f t="shared" si="25"/>
        <v>0</v>
      </c>
      <c r="K88" s="45">
        <f t="shared" si="25"/>
        <v>0</v>
      </c>
      <c r="L88" s="45">
        <f t="shared" si="25"/>
        <v>0</v>
      </c>
      <c r="M88" s="45">
        <f t="shared" si="25"/>
        <v>0</v>
      </c>
      <c r="N88" s="45">
        <f t="shared" si="25"/>
        <v>93.889</v>
      </c>
      <c r="O88" s="45">
        <f t="shared" si="25"/>
        <v>0</v>
      </c>
      <c r="P88" s="45">
        <f t="shared" si="25"/>
        <v>54.313</v>
      </c>
      <c r="Q88" s="45">
        <f t="shared" si="25"/>
        <v>0</v>
      </c>
      <c r="R88" s="45">
        <f t="shared" si="25"/>
        <v>0</v>
      </c>
      <c r="S88" s="45">
        <f t="shared" si="25"/>
        <v>0</v>
      </c>
      <c r="T88" s="45">
        <f t="shared" si="25"/>
        <v>60.237</v>
      </c>
      <c r="U88" s="45">
        <f t="shared" si="25"/>
        <v>5.539</v>
      </c>
      <c r="V88" s="45">
        <f t="shared" si="25"/>
        <v>0</v>
      </c>
      <c r="W88" s="45">
        <f t="shared" si="25"/>
        <v>43.3</v>
      </c>
      <c r="X88" s="45">
        <f t="shared" si="25"/>
        <v>0</v>
      </c>
      <c r="Y88" s="45">
        <f t="shared" si="25"/>
        <v>0</v>
      </c>
      <c r="Z88" s="45">
        <f t="shared" si="25"/>
        <v>0</v>
      </c>
      <c r="AA88" s="45">
        <f t="shared" si="25"/>
        <v>25.079</v>
      </c>
      <c r="AB88" s="45">
        <f t="shared" si="25"/>
        <v>0</v>
      </c>
      <c r="AC88" s="45">
        <f t="shared" si="25"/>
        <v>0</v>
      </c>
      <c r="AD88" s="45">
        <f t="shared" si="25"/>
        <v>0</v>
      </c>
      <c r="AE88" s="45">
        <f t="shared" si="25"/>
        <v>0</v>
      </c>
      <c r="AF88" s="45">
        <f t="shared" si="25"/>
        <v>0</v>
      </c>
      <c r="AG88" s="45">
        <f t="shared" si="25"/>
        <v>0</v>
      </c>
      <c r="AH88" s="45">
        <f>AH26</f>
        <v>0</v>
      </c>
      <c r="AI88" s="45">
        <f>AI26</f>
        <v>0</v>
      </c>
      <c r="AJ88" s="45">
        <f>AJ26</f>
        <v>390.50100000000003</v>
      </c>
      <c r="AK88" s="41">
        <f t="shared" si="21"/>
        <v>-780.048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22</v>
      </c>
      <c r="C89" s="45">
        <f>C21+C27+C39+C43+C47+C54+C59+C70</f>
        <v>6586.792</v>
      </c>
      <c r="D89" s="45">
        <f aca="true" t="shared" si="26" ref="D89:AG89">D21+D27+D39+D43+D47+D54+D59+D70</f>
        <v>0</v>
      </c>
      <c r="E89" s="45">
        <f t="shared" si="26"/>
        <v>0</v>
      </c>
      <c r="F89" s="45">
        <f t="shared" si="26"/>
        <v>97.763</v>
      </c>
      <c r="G89" s="45">
        <f t="shared" si="26"/>
        <v>95.978</v>
      </c>
      <c r="H89" s="45">
        <f t="shared" si="26"/>
        <v>0</v>
      </c>
      <c r="I89" s="45">
        <f t="shared" si="26"/>
        <v>563.798</v>
      </c>
      <c r="J89" s="45">
        <f t="shared" si="26"/>
        <v>0</v>
      </c>
      <c r="K89" s="45">
        <f t="shared" si="26"/>
        <v>0</v>
      </c>
      <c r="L89" s="45">
        <f t="shared" si="26"/>
        <v>0</v>
      </c>
      <c r="M89" s="45">
        <f t="shared" si="26"/>
        <v>0</v>
      </c>
      <c r="N89" s="45">
        <f t="shared" si="26"/>
        <v>1118.281</v>
      </c>
      <c r="O89" s="45">
        <f t="shared" si="26"/>
        <v>0</v>
      </c>
      <c r="P89" s="45">
        <f t="shared" si="26"/>
        <v>61.937</v>
      </c>
      <c r="Q89" s="45">
        <f t="shared" si="26"/>
        <v>0</v>
      </c>
      <c r="R89" s="45">
        <f t="shared" si="26"/>
        <v>0</v>
      </c>
      <c r="S89" s="45">
        <f t="shared" si="26"/>
        <v>0</v>
      </c>
      <c r="T89" s="45">
        <f t="shared" si="26"/>
        <v>17.195</v>
      </c>
      <c r="U89" s="45">
        <f t="shared" si="26"/>
        <v>1.746</v>
      </c>
      <c r="V89" s="45">
        <f t="shared" si="26"/>
        <v>0</v>
      </c>
      <c r="W89" s="45">
        <f t="shared" si="26"/>
        <v>9.399999999999999</v>
      </c>
      <c r="X89" s="45">
        <f t="shared" si="26"/>
        <v>0</v>
      </c>
      <c r="Y89" s="45">
        <f t="shared" si="26"/>
        <v>0</v>
      </c>
      <c r="Z89" s="45">
        <f t="shared" si="26"/>
        <v>0.045</v>
      </c>
      <c r="AA89" s="45">
        <f t="shared" si="26"/>
        <v>18.459</v>
      </c>
      <c r="AB89" s="45">
        <f t="shared" si="26"/>
        <v>3.491</v>
      </c>
      <c r="AC89" s="45">
        <f t="shared" si="26"/>
        <v>0</v>
      </c>
      <c r="AD89" s="45">
        <f t="shared" si="26"/>
        <v>0.989</v>
      </c>
      <c r="AE89" s="45">
        <f t="shared" si="26"/>
        <v>0</v>
      </c>
      <c r="AF89" s="45">
        <f t="shared" si="26"/>
        <v>0</v>
      </c>
      <c r="AG89" s="45">
        <f t="shared" si="26"/>
        <v>0</v>
      </c>
      <c r="AH89" s="45">
        <f>AH21+AH27+AH39+AH43+AH47+AH54+AH59+AH70</f>
        <v>0</v>
      </c>
      <c r="AI89" s="45">
        <f>AI21+AI27+AI39+AI43+AI47+AI54+AI59+AI70</f>
        <v>0</v>
      </c>
      <c r="AJ89" s="45">
        <f>AJ21+AJ27+AJ39+AJ43+AJ47+AJ54+AJ59+AJ70</f>
        <v>1989.0820000000003</v>
      </c>
      <c r="AK89" s="41">
        <f t="shared" si="21"/>
        <v>-4597.71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46</v>
      </c>
      <c r="C90" s="45">
        <f>C76</f>
        <v>88.7</v>
      </c>
      <c r="D90" s="45">
        <f aca="true" t="shared" si="27" ref="D90:AG90">D76</f>
        <v>0</v>
      </c>
      <c r="E90" s="45">
        <f t="shared" si="27"/>
        <v>0</v>
      </c>
      <c r="F90" s="45">
        <f t="shared" si="27"/>
        <v>0</v>
      </c>
      <c r="G90" s="45">
        <f t="shared" si="27"/>
        <v>0</v>
      </c>
      <c r="H90" s="45">
        <f t="shared" si="27"/>
        <v>0</v>
      </c>
      <c r="I90" s="45">
        <f t="shared" si="27"/>
        <v>0</v>
      </c>
      <c r="J90" s="45">
        <f t="shared" si="27"/>
        <v>0</v>
      </c>
      <c r="K90" s="45">
        <f t="shared" si="27"/>
        <v>0</v>
      </c>
      <c r="L90" s="45">
        <f t="shared" si="27"/>
        <v>0</v>
      </c>
      <c r="M90" s="45">
        <f t="shared" si="27"/>
        <v>0</v>
      </c>
      <c r="N90" s="45">
        <f t="shared" si="27"/>
        <v>0</v>
      </c>
      <c r="O90" s="45">
        <f t="shared" si="27"/>
        <v>0</v>
      </c>
      <c r="P90" s="45">
        <f t="shared" si="27"/>
        <v>0</v>
      </c>
      <c r="Q90" s="45">
        <f t="shared" si="27"/>
        <v>0</v>
      </c>
      <c r="R90" s="45">
        <f t="shared" si="27"/>
        <v>0</v>
      </c>
      <c r="S90" s="45">
        <f t="shared" si="27"/>
        <v>0</v>
      </c>
      <c r="T90" s="45">
        <f t="shared" si="27"/>
        <v>0</v>
      </c>
      <c r="U90" s="45">
        <f t="shared" si="27"/>
        <v>0</v>
      </c>
      <c r="V90" s="45">
        <f t="shared" si="27"/>
        <v>0</v>
      </c>
      <c r="W90" s="45">
        <f t="shared" si="27"/>
        <v>0</v>
      </c>
      <c r="X90" s="45">
        <f t="shared" si="27"/>
        <v>0</v>
      </c>
      <c r="Y90" s="45">
        <f t="shared" si="27"/>
        <v>0</v>
      </c>
      <c r="Z90" s="45">
        <f t="shared" si="27"/>
        <v>0</v>
      </c>
      <c r="AA90" s="45">
        <f t="shared" si="27"/>
        <v>0</v>
      </c>
      <c r="AB90" s="45">
        <f t="shared" si="27"/>
        <v>0</v>
      </c>
      <c r="AC90" s="45">
        <f t="shared" si="27"/>
        <v>0</v>
      </c>
      <c r="AD90" s="45">
        <f t="shared" si="27"/>
        <v>0</v>
      </c>
      <c r="AE90" s="45">
        <f t="shared" si="27"/>
        <v>0</v>
      </c>
      <c r="AF90" s="45">
        <f t="shared" si="27"/>
        <v>0</v>
      </c>
      <c r="AG90" s="45">
        <f t="shared" si="27"/>
        <v>0</v>
      </c>
      <c r="AH90" s="45">
        <f>AH76</f>
        <v>0</v>
      </c>
      <c r="AI90" s="45">
        <f>AI76</f>
        <v>0</v>
      </c>
      <c r="AJ90" s="45">
        <f>AJ76</f>
        <v>0</v>
      </c>
      <c r="AK90" s="41">
        <f t="shared" si="21"/>
        <v>-88.7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34</v>
      </c>
      <c r="C91" s="45">
        <f>C30+C51+C60+C68+C31+C71+C81+C82+C83+C63+C78+C65</f>
        <v>4105.561</v>
      </c>
      <c r="D91" s="45">
        <f aca="true" t="shared" si="28" ref="D91:AG91">D30+D51+D60+D68+D31+D71+D81+D82+D83+D63+D78+D65</f>
        <v>0</v>
      </c>
      <c r="E91" s="45">
        <f t="shared" si="28"/>
        <v>0</v>
      </c>
      <c r="F91" s="45">
        <f t="shared" si="28"/>
        <v>27.599</v>
      </c>
      <c r="G91" s="45">
        <f t="shared" si="28"/>
        <v>734.215</v>
      </c>
      <c r="H91" s="45">
        <f t="shared" si="28"/>
        <v>0</v>
      </c>
      <c r="I91" s="45">
        <f t="shared" si="28"/>
        <v>252.15099999999998</v>
      </c>
      <c r="J91" s="45">
        <f t="shared" si="28"/>
        <v>0</v>
      </c>
      <c r="K91" s="45">
        <f t="shared" si="28"/>
        <v>0</v>
      </c>
      <c r="L91" s="45">
        <f t="shared" si="28"/>
        <v>0</v>
      </c>
      <c r="M91" s="45">
        <f t="shared" si="28"/>
        <v>0</v>
      </c>
      <c r="N91" s="45">
        <f t="shared" si="28"/>
        <v>105.283</v>
      </c>
      <c r="O91" s="45">
        <f t="shared" si="28"/>
        <v>0</v>
      </c>
      <c r="P91" s="45">
        <f t="shared" si="28"/>
        <v>123.116</v>
      </c>
      <c r="Q91" s="45">
        <f t="shared" si="28"/>
        <v>0</v>
      </c>
      <c r="R91" s="45">
        <f t="shared" si="28"/>
        <v>0</v>
      </c>
      <c r="S91" s="45">
        <f t="shared" si="28"/>
        <v>82.231</v>
      </c>
      <c r="T91" s="45">
        <f t="shared" si="28"/>
        <v>80.68</v>
      </c>
      <c r="U91" s="45">
        <f t="shared" si="28"/>
        <v>629.7</v>
      </c>
      <c r="V91" s="45">
        <f t="shared" si="28"/>
        <v>0</v>
      </c>
      <c r="W91" s="45">
        <f t="shared" si="28"/>
        <v>168.4</v>
      </c>
      <c r="X91" s="45">
        <f t="shared" si="28"/>
        <v>0</v>
      </c>
      <c r="Y91" s="45">
        <f t="shared" si="28"/>
        <v>0</v>
      </c>
      <c r="Z91" s="45">
        <f t="shared" si="28"/>
        <v>0</v>
      </c>
      <c r="AA91" s="45">
        <f t="shared" si="28"/>
        <v>125.382</v>
      </c>
      <c r="AB91" s="45">
        <f t="shared" si="28"/>
        <v>0</v>
      </c>
      <c r="AC91" s="45">
        <f t="shared" si="28"/>
        <v>0</v>
      </c>
      <c r="AD91" s="45">
        <f t="shared" si="28"/>
        <v>0</v>
      </c>
      <c r="AE91" s="45">
        <f t="shared" si="28"/>
        <v>0</v>
      </c>
      <c r="AF91" s="45">
        <f t="shared" si="28"/>
        <v>0</v>
      </c>
      <c r="AG91" s="45">
        <f t="shared" si="28"/>
        <v>0</v>
      </c>
      <c r="AH91" s="45">
        <f>AH30+AH51+AH60+AH68+AH31+AH71+AH81+AH82+AH83+AH63+AH78+AH65</f>
        <v>0</v>
      </c>
      <c r="AI91" s="45">
        <f>AI30+AI51+AI60+AI68+AI31+AI71+AI81+AI82+AI83+AI63+AI78+AI65</f>
        <v>0</v>
      </c>
      <c r="AJ91" s="45">
        <f>AJ30+AJ51+AJ60+AJ68+AJ31+AJ71+AJ81+AJ82+AJ83+AJ63+AJ78+AJ65</f>
        <v>2328.757</v>
      </c>
      <c r="AK91" s="41">
        <f t="shared" si="21"/>
        <v>-1776.8039999999996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24</v>
      </c>
      <c r="C92" s="45">
        <f>C22+C28+C32+C33+C34+C40+C44+C48+C55+C61+C74+C79+C80+C84+C67+C77+C75+C35+C72</f>
        <v>6544.506</v>
      </c>
      <c r="D92" s="45">
        <f aca="true" t="shared" si="29" ref="D92:AG92">D22+D28+D32+D33+D34+D40+D44+D48+D55+D61+D74+D79+D80+D84+D67+D77+D75+D35+D72</f>
        <v>0</v>
      </c>
      <c r="E92" s="45">
        <f t="shared" si="29"/>
        <v>0</v>
      </c>
      <c r="F92" s="45">
        <f t="shared" si="29"/>
        <v>62.831999999999994</v>
      </c>
      <c r="G92" s="45">
        <f t="shared" si="29"/>
        <v>123.353</v>
      </c>
      <c r="H92" s="45">
        <f t="shared" si="29"/>
        <v>0</v>
      </c>
      <c r="I92" s="45">
        <f t="shared" si="29"/>
        <v>570.2</v>
      </c>
      <c r="J92" s="45">
        <f t="shared" si="29"/>
        <v>0</v>
      </c>
      <c r="K92" s="45">
        <f t="shared" si="29"/>
        <v>0</v>
      </c>
      <c r="L92" s="45">
        <f t="shared" si="29"/>
        <v>0</v>
      </c>
      <c r="M92" s="45">
        <f t="shared" si="29"/>
        <v>0</v>
      </c>
      <c r="N92" s="45">
        <f t="shared" si="29"/>
        <v>146.04799999999997</v>
      </c>
      <c r="O92" s="45">
        <f t="shared" si="29"/>
        <v>0</v>
      </c>
      <c r="P92" s="45">
        <f t="shared" si="29"/>
        <v>601.417</v>
      </c>
      <c r="Q92" s="45">
        <f t="shared" si="29"/>
        <v>0</v>
      </c>
      <c r="R92" s="45">
        <f t="shared" si="29"/>
        <v>0</v>
      </c>
      <c r="S92" s="45">
        <f t="shared" si="29"/>
        <v>0</v>
      </c>
      <c r="T92" s="45">
        <f t="shared" si="29"/>
        <v>451.878</v>
      </c>
      <c r="U92" s="45">
        <f t="shared" si="29"/>
        <v>177.654</v>
      </c>
      <c r="V92" s="45">
        <f t="shared" si="29"/>
        <v>0</v>
      </c>
      <c r="W92" s="45">
        <f t="shared" si="29"/>
        <v>730</v>
      </c>
      <c r="X92" s="45">
        <f t="shared" si="29"/>
        <v>0</v>
      </c>
      <c r="Y92" s="45">
        <f t="shared" si="29"/>
        <v>0</v>
      </c>
      <c r="Z92" s="45">
        <f t="shared" si="29"/>
        <v>0</v>
      </c>
      <c r="AA92" s="45">
        <f t="shared" si="29"/>
        <v>379.991</v>
      </c>
      <c r="AB92" s="45">
        <f t="shared" si="29"/>
        <v>275.759</v>
      </c>
      <c r="AC92" s="45">
        <f t="shared" si="29"/>
        <v>0</v>
      </c>
      <c r="AD92" s="45">
        <f t="shared" si="29"/>
        <v>7.943999999999999</v>
      </c>
      <c r="AE92" s="45">
        <f t="shared" si="29"/>
        <v>0</v>
      </c>
      <c r="AF92" s="45">
        <f t="shared" si="29"/>
        <v>0</v>
      </c>
      <c r="AG92" s="45">
        <f t="shared" si="29"/>
        <v>0</v>
      </c>
      <c r="AH92" s="45">
        <f>AH22+AH28+AH32+AH33+AH34+AH40+AH44+AH48+AH55+AH61+AH74+AH79+AH80+AH84+AH67+AH77+AH75+AH35+AH72</f>
        <v>0</v>
      </c>
      <c r="AI92" s="45">
        <f>AI22+AI28+AI32+AI33+AI34+AI40+AI44+AI48+AI55+AI61+AI74+AI79+AI80+AI84+AI67+AI77+AI75+AI35+AI72</f>
        <v>0</v>
      </c>
      <c r="AJ92" s="45">
        <f>AJ22+AJ28+AJ32+AJ33+AJ34+AJ40+AJ44+AJ48+AJ55+AJ61+AJ74+AJ79+AJ80+AJ84+AJ67+AJ77+AJ75+AJ35+AJ72</f>
        <v>3527.0759999999996</v>
      </c>
      <c r="AK92" s="41">
        <f t="shared" si="21"/>
        <v>-3017.4300000000007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5"/>
      <c r="C93" s="60"/>
      <c r="D93" s="60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7"/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 t="s">
        <v>71</v>
      </c>
      <c r="C94" s="62">
        <f aca="true" t="shared" si="30" ref="C94:AJ94">C18-C85</f>
        <v>0</v>
      </c>
      <c r="D94" s="62"/>
      <c r="E94" s="62">
        <f t="shared" si="30"/>
        <v>0</v>
      </c>
      <c r="F94" s="62">
        <f t="shared" si="30"/>
        <v>0</v>
      </c>
      <c r="G94" s="62">
        <f t="shared" si="30"/>
        <v>0</v>
      </c>
      <c r="H94" s="62">
        <f t="shared" si="30"/>
        <v>0</v>
      </c>
      <c r="I94" s="62">
        <f t="shared" si="30"/>
        <v>0</v>
      </c>
      <c r="J94" s="62"/>
      <c r="K94" s="62"/>
      <c r="L94" s="62"/>
      <c r="M94" s="62">
        <f t="shared" si="30"/>
        <v>0</v>
      </c>
      <c r="N94" s="62">
        <f t="shared" si="30"/>
        <v>0</v>
      </c>
      <c r="O94" s="62">
        <f t="shared" si="30"/>
        <v>0</v>
      </c>
      <c r="P94" s="62">
        <f t="shared" si="30"/>
        <v>0</v>
      </c>
      <c r="Q94" s="62"/>
      <c r="R94" s="62"/>
      <c r="S94" s="62">
        <f t="shared" si="30"/>
        <v>0</v>
      </c>
      <c r="T94" s="62">
        <f t="shared" si="30"/>
        <v>0</v>
      </c>
      <c r="U94" s="62">
        <f t="shared" si="30"/>
        <v>0</v>
      </c>
      <c r="V94" s="62">
        <f t="shared" si="30"/>
        <v>0</v>
      </c>
      <c r="W94" s="62">
        <f t="shared" si="30"/>
        <v>0</v>
      </c>
      <c r="X94" s="62"/>
      <c r="Y94" s="62"/>
      <c r="Z94" s="62">
        <f t="shared" si="30"/>
        <v>0</v>
      </c>
      <c r="AA94" s="62">
        <f t="shared" si="30"/>
        <v>0</v>
      </c>
      <c r="AB94" s="62">
        <f t="shared" si="30"/>
        <v>0</v>
      </c>
      <c r="AC94" s="62">
        <f t="shared" si="30"/>
        <v>0</v>
      </c>
      <c r="AD94" s="62">
        <f t="shared" si="30"/>
        <v>0</v>
      </c>
      <c r="AE94" s="62"/>
      <c r="AF94" s="62"/>
      <c r="AG94" s="62">
        <f t="shared" si="30"/>
        <v>0</v>
      </c>
      <c r="AH94" s="62">
        <f t="shared" si="30"/>
        <v>0</v>
      </c>
      <c r="AI94" s="62">
        <f t="shared" si="30"/>
        <v>0</v>
      </c>
      <c r="AJ94" s="62">
        <f t="shared" si="30"/>
        <v>0</v>
      </c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/>
      <c r="C95" s="63"/>
      <c r="D95" s="6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8" spans="1:49" s="8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64"/>
      <c r="AP98" s="9"/>
      <c r="AQ98" s="9"/>
      <c r="AR98" s="9"/>
      <c r="AS98" s="9"/>
      <c r="AT98" s="9"/>
      <c r="AU98" s="9"/>
      <c r="AV98" s="9"/>
      <c r="AW98" s="9"/>
    </row>
    <row r="177" ht="15.75">
      <c r="B177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4" max="255" man="1"/>
  </rowBreaks>
  <colBreaks count="1" manualBreakCount="1"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W178"/>
  <sheetViews>
    <sheetView tabSelected="1" view="pageBreakPreview" zoomScale="75" zoomScaleNormal="40" zoomScaleSheetLayoutView="75" zoomScalePageLayoutView="0" workbookViewId="0" topLeftCell="B1">
      <pane xSplit="3210" ySplit="2295" topLeftCell="Q92" activePane="topRight" state="split"/>
      <selection pane="topLeft" activeCell="B84" sqref="B84"/>
      <selection pane="topRight" activeCell="AL5" sqref="AL5"/>
      <selection pane="bottomLeft" activeCell="B6" sqref="B6"/>
      <selection pane="bottomRight" activeCell="K17" sqref="K17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4" width="7.57421875" style="5" customWidth="1"/>
    <col min="5" max="5" width="7.7109375" style="5" customWidth="1"/>
    <col min="6" max="6" width="7.8515625" style="5" customWidth="1"/>
    <col min="7" max="7" width="4.140625" style="5" customWidth="1"/>
    <col min="8" max="8" width="3.8515625" style="5" customWidth="1"/>
    <col min="9" max="9" width="8.7109375" style="5" customWidth="1"/>
    <col min="10" max="10" width="7.00390625" style="5" customWidth="1"/>
    <col min="11" max="11" width="6.421875" style="5" customWidth="1"/>
    <col min="12" max="12" width="7.421875" style="5" customWidth="1"/>
    <col min="13" max="13" width="8.7109375" style="5" customWidth="1"/>
    <col min="14" max="14" width="4.00390625" style="5" customWidth="1"/>
    <col min="15" max="15" width="4.140625" style="5" customWidth="1"/>
    <col min="16" max="16" width="8.7109375" style="5" customWidth="1"/>
    <col min="17" max="18" width="8.28125" style="5" customWidth="1"/>
    <col min="19" max="20" width="8.7109375" style="5" customWidth="1"/>
    <col min="21" max="21" width="4.140625" style="5" customWidth="1"/>
    <col min="22" max="22" width="4.57421875" style="5" customWidth="1"/>
    <col min="23" max="23" width="4.140625" style="5" customWidth="1"/>
    <col min="24" max="24" width="8.7109375" style="5" customWidth="1"/>
    <col min="25" max="25" width="9.8515625" style="5" customWidth="1"/>
    <col min="26" max="27" width="8.7109375" style="5" customWidth="1"/>
    <col min="28" max="29" width="4.00390625" style="5" customWidth="1"/>
    <col min="30" max="31" width="8.7109375" style="5" customWidth="1"/>
    <col min="32" max="32" width="8.28125" style="5" customWidth="1"/>
    <col min="33" max="33" width="8.7109375" style="5" customWidth="1"/>
    <col min="34" max="34" width="5.421875" style="5" customWidth="1"/>
    <col min="35" max="35" width="8.71093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3" spans="2:49" s="1" customFormat="1" ht="18.75">
      <c r="B3" s="75" t="s">
        <v>75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0</v>
      </c>
      <c r="D6" s="15"/>
      <c r="E6" s="16"/>
      <c r="F6" s="17"/>
      <c r="G6" s="18"/>
      <c r="H6" s="17"/>
      <c r="I6" s="18"/>
      <c r="J6" s="18"/>
      <c r="K6" s="18"/>
      <c r="L6" s="18"/>
      <c r="M6" s="18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SUM(E7:AH7)</f>
        <v>0</v>
      </c>
      <c r="D7" s="15">
        <v>2116.5</v>
      </c>
      <c r="E7" s="21"/>
      <c r="F7" s="17"/>
      <c r="G7" s="17"/>
      <c r="H7" s="17"/>
      <c r="I7" s="17"/>
      <c r="J7" s="17"/>
      <c r="K7" s="17"/>
      <c r="L7" s="17"/>
      <c r="M7" s="17"/>
      <c r="N7" s="22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SUM(E8:AI8)</f>
        <v>0</v>
      </c>
      <c r="D8" s="25">
        <f aca="true" t="shared" si="0" ref="D8:AH8">SUM(D9:D16)</f>
        <v>251.09999999999997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 t="shared" si="0"/>
        <v>0</v>
      </c>
      <c r="Q8" s="25">
        <f t="shared" si="0"/>
        <v>0</v>
      </c>
      <c r="R8" s="25">
        <f t="shared" si="0"/>
        <v>0</v>
      </c>
      <c r="S8" s="25">
        <f t="shared" si="0"/>
        <v>0</v>
      </c>
      <c r="T8" s="25">
        <f t="shared" si="0"/>
        <v>0</v>
      </c>
      <c r="U8" s="25">
        <f t="shared" si="0"/>
        <v>0</v>
      </c>
      <c r="V8" s="25">
        <f t="shared" si="0"/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 t="shared" si="0"/>
        <v>0</v>
      </c>
      <c r="AA8" s="25">
        <f t="shared" si="0"/>
        <v>0</v>
      </c>
      <c r="AB8" s="25">
        <f t="shared" si="0"/>
        <v>0</v>
      </c>
      <c r="AC8" s="25">
        <f t="shared" si="0"/>
        <v>0</v>
      </c>
      <c r="AD8" s="25">
        <f t="shared" si="0"/>
        <v>0</v>
      </c>
      <c r="AE8" s="25">
        <f t="shared" si="0"/>
        <v>0</v>
      </c>
      <c r="AF8" s="25">
        <f t="shared" si="0"/>
        <v>0</v>
      </c>
      <c r="AG8" s="25">
        <f t="shared" si="0"/>
        <v>0</v>
      </c>
      <c r="AH8" s="25">
        <f t="shared" si="0"/>
        <v>0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28">
        <f>SUM(D9:AH9)</f>
        <v>49.2</v>
      </c>
      <c r="D9" s="28">
        <v>49.2</v>
      </c>
      <c r="E9" s="2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30"/>
      <c r="AA9" s="30"/>
      <c r="AB9" s="22"/>
      <c r="AC9" s="30"/>
      <c r="AD9" s="22"/>
      <c r="AE9" s="22"/>
      <c r="AF9" s="22"/>
      <c r="AG9" s="22"/>
      <c r="AH9" s="22"/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28">
        <f aca="true" t="shared" si="1" ref="C10:C16">SUM(D10:AH10)</f>
        <v>0</v>
      </c>
      <c r="D10" s="28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28">
        <f t="shared" si="1"/>
        <v>32.8</v>
      </c>
      <c r="D11" s="28">
        <v>32.8</v>
      </c>
      <c r="E11" s="2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0"/>
      <c r="AA11" s="30"/>
      <c r="AB11" s="22"/>
      <c r="AC11" s="30"/>
      <c r="AD11" s="22"/>
      <c r="AE11" s="22"/>
      <c r="AF11" s="22"/>
      <c r="AG11" s="22"/>
      <c r="AH11" s="22"/>
      <c r="AI11" s="22"/>
      <c r="AJ11" s="29"/>
      <c r="AK11" s="31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28">
        <f t="shared" si="1"/>
        <v>3.3</v>
      </c>
      <c r="D12" s="28">
        <v>3.3</v>
      </c>
      <c r="E12" s="29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30"/>
      <c r="AA12" s="30"/>
      <c r="AB12" s="22"/>
      <c r="AC12" s="30"/>
      <c r="AD12" s="22"/>
      <c r="AE12" s="22"/>
      <c r="AF12" s="22"/>
      <c r="AG12" s="22"/>
      <c r="AH12" s="22"/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28">
        <f t="shared" si="1"/>
        <v>5.3</v>
      </c>
      <c r="D13" s="28">
        <v>5.3</v>
      </c>
      <c r="E13" s="29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30"/>
      <c r="AA13" s="30"/>
      <c r="AB13" s="22"/>
      <c r="AC13" s="22"/>
      <c r="AD13" s="22"/>
      <c r="AE13" s="22"/>
      <c r="AF13" s="22"/>
      <c r="AG13" s="22"/>
      <c r="AH13" s="22"/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28">
        <f t="shared" si="1"/>
        <v>75.8</v>
      </c>
      <c r="D14" s="28">
        <v>75.8</v>
      </c>
      <c r="E14" s="29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30"/>
      <c r="AA14" s="30"/>
      <c r="AB14" s="22"/>
      <c r="AC14" s="30"/>
      <c r="AD14" s="22"/>
      <c r="AE14" s="22"/>
      <c r="AF14" s="22"/>
      <c r="AG14" s="22"/>
      <c r="AH14" s="22"/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28">
        <f t="shared" si="1"/>
        <v>1.1</v>
      </c>
      <c r="D15" s="28">
        <v>1.1</v>
      </c>
      <c r="E15" s="29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30"/>
      <c r="AA15" s="30"/>
      <c r="AB15" s="22"/>
      <c r="AC15" s="30"/>
      <c r="AD15" s="22"/>
      <c r="AE15" s="22"/>
      <c r="AF15" s="22"/>
      <c r="AG15" s="22"/>
      <c r="AH15" s="22"/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28">
        <f t="shared" si="1"/>
        <v>83.6</v>
      </c>
      <c r="D16" s="28">
        <v>83.6</v>
      </c>
      <c r="E16" s="29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30"/>
      <c r="AA16" s="30"/>
      <c r="AB16" s="22"/>
      <c r="AC16" s="30"/>
      <c r="AD16" s="22"/>
      <c r="AE16" s="22"/>
      <c r="AF16" s="22"/>
      <c r="AG16" s="22"/>
      <c r="AH16" s="22"/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SUM(E17:AH17)</f>
        <v>0</v>
      </c>
      <c r="D17" s="38">
        <f>SUM(D6:D8)</f>
        <v>2367.6</v>
      </c>
      <c r="E17" s="38">
        <f aca="true" t="shared" si="2" ref="E17:AH17">SUM(E6:E8)</f>
        <v>0</v>
      </c>
      <c r="F17" s="38">
        <f t="shared" si="2"/>
        <v>0</v>
      </c>
      <c r="G17" s="38">
        <f t="shared" si="2"/>
        <v>0</v>
      </c>
      <c r="H17" s="38">
        <f t="shared" si="2"/>
        <v>0</v>
      </c>
      <c r="I17" s="38">
        <f t="shared" si="2"/>
        <v>0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 t="shared" si="2"/>
        <v>0</v>
      </c>
      <c r="N17" s="38">
        <f t="shared" si="2"/>
        <v>0</v>
      </c>
      <c r="O17" s="38">
        <f t="shared" si="2"/>
        <v>0</v>
      </c>
      <c r="P17" s="38">
        <f t="shared" si="2"/>
        <v>0</v>
      </c>
      <c r="Q17" s="38">
        <f t="shared" si="2"/>
        <v>0</v>
      </c>
      <c r="R17" s="38">
        <f t="shared" si="2"/>
        <v>0</v>
      </c>
      <c r="S17" s="38">
        <f t="shared" si="2"/>
        <v>0</v>
      </c>
      <c r="T17" s="38">
        <f t="shared" si="2"/>
        <v>0</v>
      </c>
      <c r="U17" s="38">
        <f t="shared" si="2"/>
        <v>0</v>
      </c>
      <c r="V17" s="38">
        <f t="shared" si="2"/>
        <v>0</v>
      </c>
      <c r="W17" s="38">
        <f t="shared" si="2"/>
        <v>0</v>
      </c>
      <c r="X17" s="38">
        <f t="shared" si="2"/>
        <v>0</v>
      </c>
      <c r="Y17" s="38">
        <f t="shared" si="2"/>
        <v>0</v>
      </c>
      <c r="Z17" s="38">
        <f t="shared" si="2"/>
        <v>0</v>
      </c>
      <c r="AA17" s="38">
        <f t="shared" si="2"/>
        <v>0</v>
      </c>
      <c r="AB17" s="38">
        <f t="shared" si="2"/>
        <v>0</v>
      </c>
      <c r="AC17" s="38">
        <f t="shared" si="2"/>
        <v>0</v>
      </c>
      <c r="AD17" s="38">
        <f t="shared" si="2"/>
        <v>0</v>
      </c>
      <c r="AE17" s="38">
        <f t="shared" si="2"/>
        <v>0</v>
      </c>
      <c r="AF17" s="38">
        <f t="shared" si="2"/>
        <v>0</v>
      </c>
      <c r="AG17" s="38">
        <f t="shared" si="2"/>
        <v>0</v>
      </c>
      <c r="AH17" s="38">
        <f t="shared" si="2"/>
        <v>0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C19+C23+C29+C32+C33+C35+C36+C41+C45+C49+C52+C56+C66+C73+C79+C80+C85+C31+C69+C77+C75+C76+C81+C82+C84+C72+C34+C62+C78+C64+C83</f>
        <v>37538.972</v>
      </c>
      <c r="D18" s="40">
        <f aca="true" t="shared" si="3" ref="D18:AJ18">D19+D23+D29+D32+D33+D35+D36+D41+D45+D49+D52+D56+D66+D73+D79+D80+D85+D31+D69+D77+D75+D76+D81+D82+D84+D72+D34+D62+D78+D64+D83</f>
        <v>1243.58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0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0</v>
      </c>
      <c r="O18" s="40">
        <f t="shared" si="3"/>
        <v>0</v>
      </c>
      <c r="P18" s="40">
        <f t="shared" si="3"/>
        <v>0</v>
      </c>
      <c r="Q18" s="40">
        <f t="shared" si="3"/>
        <v>0</v>
      </c>
      <c r="R18" s="40">
        <f t="shared" si="3"/>
        <v>0</v>
      </c>
      <c r="S18" s="40">
        <f t="shared" si="3"/>
        <v>0</v>
      </c>
      <c r="T18" s="40">
        <f t="shared" si="3"/>
        <v>0</v>
      </c>
      <c r="U18" s="40">
        <f t="shared" si="3"/>
        <v>0</v>
      </c>
      <c r="V18" s="40">
        <f t="shared" si="3"/>
        <v>0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0</v>
      </c>
      <c r="AB18" s="40">
        <f t="shared" si="3"/>
        <v>0</v>
      </c>
      <c r="AC18" s="40">
        <f t="shared" si="3"/>
        <v>0</v>
      </c>
      <c r="AD18" s="40">
        <f t="shared" si="3"/>
        <v>0</v>
      </c>
      <c r="AE18" s="40">
        <f t="shared" si="3"/>
        <v>0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1243.58</v>
      </c>
      <c r="AK18" s="41">
        <f aca="true" t="shared" si="4" ref="AK18:AK81">AJ18-C18</f>
        <v>-36295.392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5582.009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0</v>
      </c>
      <c r="K19" s="43">
        <f t="shared" si="5"/>
        <v>0</v>
      </c>
      <c r="L19" s="43">
        <f t="shared" si="5"/>
        <v>0</v>
      </c>
      <c r="M19" s="43">
        <f t="shared" si="5"/>
        <v>0</v>
      </c>
      <c r="N19" s="43">
        <f t="shared" si="5"/>
        <v>0</v>
      </c>
      <c r="O19" s="43">
        <f t="shared" si="5"/>
        <v>0</v>
      </c>
      <c r="P19" s="43">
        <f t="shared" si="5"/>
        <v>0</v>
      </c>
      <c r="Q19" s="43">
        <f t="shared" si="5"/>
        <v>0</v>
      </c>
      <c r="R19" s="43">
        <f t="shared" si="5"/>
        <v>0</v>
      </c>
      <c r="S19" s="43">
        <f t="shared" si="5"/>
        <v>0</v>
      </c>
      <c r="T19" s="43">
        <f t="shared" si="5"/>
        <v>0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 t="shared" si="5"/>
        <v>0</v>
      </c>
      <c r="AA19" s="43">
        <f t="shared" si="5"/>
        <v>0</v>
      </c>
      <c r="AB19" s="43">
        <f t="shared" si="5"/>
        <v>0</v>
      </c>
      <c r="AC19" s="43">
        <f t="shared" si="5"/>
        <v>0</v>
      </c>
      <c r="AD19" s="43">
        <f t="shared" si="5"/>
        <v>0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>SUM(AJ20:AJ22)</f>
        <v>0</v>
      </c>
      <c r="AK19" s="41">
        <f t="shared" si="4"/>
        <v>-5582.009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3127.341</v>
      </c>
      <c r="D20" s="45"/>
      <c r="E20" s="17"/>
      <c r="F20" s="17"/>
      <c r="G20" s="17"/>
      <c r="H20" s="17"/>
      <c r="I20" s="17"/>
      <c r="J20" s="17"/>
      <c r="K20" s="17"/>
      <c r="L20" s="17"/>
      <c r="M20" s="22"/>
      <c r="N20" s="22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22"/>
      <c r="AE20" s="22"/>
      <c r="AF20" s="22"/>
      <c r="AG20" s="22"/>
      <c r="AH20" s="17"/>
      <c r="AI20" s="17"/>
      <c r="AJ20" s="17">
        <f>SUM(D20:AI20)</f>
        <v>0</v>
      </c>
      <c r="AK20" s="41">
        <f t="shared" si="4"/>
        <v>-3127.341</v>
      </c>
      <c r="AL20" s="7"/>
      <c r="AM20" s="66" t="s">
        <v>21</v>
      </c>
      <c r="AN20" s="67">
        <f>AJ19</f>
        <v>0</v>
      </c>
      <c r="AO20" s="73"/>
      <c r="AP20" s="8"/>
    </row>
    <row r="21" spans="2:42" ht="15.75">
      <c r="B21" s="44" t="s">
        <v>22</v>
      </c>
      <c r="C21" s="45">
        <v>396.668</v>
      </c>
      <c r="D21" s="45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22"/>
      <c r="AE21" s="22"/>
      <c r="AF21" s="22"/>
      <c r="AG21" s="22"/>
      <c r="AH21" s="17"/>
      <c r="AI21" s="17"/>
      <c r="AJ21" s="17">
        <f>SUM(D21:AI21)</f>
        <v>0</v>
      </c>
      <c r="AK21" s="41">
        <f t="shared" si="4"/>
        <v>-396.668</v>
      </c>
      <c r="AL21" s="7"/>
      <c r="AM21" s="66" t="s">
        <v>23</v>
      </c>
      <c r="AN21" s="67">
        <f>AJ23</f>
        <v>0</v>
      </c>
      <c r="AO21" s="73"/>
      <c r="AP21" s="8"/>
    </row>
    <row r="22" spans="2:42" ht="15.75">
      <c r="B22" s="44" t="s">
        <v>24</v>
      </c>
      <c r="C22" s="45">
        <v>2058</v>
      </c>
      <c r="D22" s="45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>
        <f>SUM(D22:AI22)</f>
        <v>0</v>
      </c>
      <c r="AK22" s="41">
        <f t="shared" si="4"/>
        <v>-2058</v>
      </c>
      <c r="AL22" s="7"/>
      <c r="AM22" s="66" t="s">
        <v>25</v>
      </c>
      <c r="AN22" s="67">
        <f>$AJ$29+$AJ$31</f>
        <v>0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19406.683</v>
      </c>
      <c r="D23" s="43">
        <f t="shared" si="6"/>
        <v>0</v>
      </c>
      <c r="E23" s="43">
        <f t="shared" si="6"/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0</v>
      </c>
      <c r="O23" s="43">
        <f t="shared" si="6"/>
        <v>0</v>
      </c>
      <c r="P23" s="43">
        <f t="shared" si="6"/>
        <v>0</v>
      </c>
      <c r="Q23" s="43">
        <f t="shared" si="6"/>
        <v>0</v>
      </c>
      <c r="R23" s="43">
        <f t="shared" si="6"/>
        <v>0</v>
      </c>
      <c r="S23" s="43">
        <f t="shared" si="6"/>
        <v>0</v>
      </c>
      <c r="T23" s="43">
        <f t="shared" si="6"/>
        <v>0</v>
      </c>
      <c r="U23" s="43">
        <f t="shared" si="6"/>
        <v>0</v>
      </c>
      <c r="V23" s="43">
        <f t="shared" si="6"/>
        <v>0</v>
      </c>
      <c r="W23" s="43">
        <f t="shared" si="6"/>
        <v>0</v>
      </c>
      <c r="X23" s="43">
        <f t="shared" si="6"/>
        <v>0</v>
      </c>
      <c r="Y23" s="43">
        <f t="shared" si="6"/>
        <v>0</v>
      </c>
      <c r="Z23" s="43">
        <f t="shared" si="6"/>
        <v>0</v>
      </c>
      <c r="AA23" s="43">
        <f t="shared" si="6"/>
        <v>0</v>
      </c>
      <c r="AB23" s="43">
        <f t="shared" si="6"/>
        <v>0</v>
      </c>
      <c r="AC23" s="43">
        <f t="shared" si="6"/>
        <v>0</v>
      </c>
      <c r="AD23" s="43">
        <f t="shared" si="6"/>
        <v>0</v>
      </c>
      <c r="AE23" s="43">
        <f t="shared" si="6"/>
        <v>0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0</v>
      </c>
      <c r="AK23" s="41">
        <f t="shared" si="4"/>
        <v>-19406.683</v>
      </c>
      <c r="AL23" s="2"/>
      <c r="AM23" s="66" t="s">
        <v>26</v>
      </c>
      <c r="AN23" s="67">
        <f>$AJ$32+$AJ$33+$AJ$36+$AJ$41+$AJ$45+$AJ$35+$AJ$34</f>
        <v>0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11496.612</v>
      </c>
      <c r="D24" s="45"/>
      <c r="E24" s="17"/>
      <c r="F24" s="17"/>
      <c r="G24" s="17"/>
      <c r="H24" s="17"/>
      <c r="I24" s="17"/>
      <c r="J24" s="17"/>
      <c r="K24" s="17"/>
      <c r="L24" s="17"/>
      <c r="M24" s="17"/>
      <c r="N24" s="2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22"/>
      <c r="AE24" s="22"/>
      <c r="AF24" s="22"/>
      <c r="AG24" s="22"/>
      <c r="AH24" s="17"/>
      <c r="AI24" s="17"/>
      <c r="AJ24" s="17">
        <f>SUM(D24:AI24)</f>
        <v>0</v>
      </c>
      <c r="AK24" s="41">
        <f t="shared" si="4"/>
        <v>-11496.612</v>
      </c>
      <c r="AL24" s="7"/>
      <c r="AM24" s="66" t="s">
        <v>27</v>
      </c>
      <c r="AN24" s="67">
        <f>$AJ$66+$AJ$69+$AJ$76+$AJ$62+$AJ$64</f>
        <v>0</v>
      </c>
      <c r="AO24" s="73"/>
      <c r="AP24" s="8"/>
    </row>
    <row r="25" spans="2:42" ht="15.75">
      <c r="B25" s="44" t="s">
        <v>28</v>
      </c>
      <c r="C25" s="45">
        <v>13.76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22"/>
      <c r="AE25" s="22"/>
      <c r="AF25" s="22"/>
      <c r="AG25" s="22"/>
      <c r="AH25" s="17"/>
      <c r="AI25" s="17"/>
      <c r="AJ25" s="17">
        <f>SUM(D25:AI25)</f>
        <v>0</v>
      </c>
      <c r="AK25" s="41">
        <f t="shared" si="4"/>
        <v>-13.76</v>
      </c>
      <c r="AL25" s="7"/>
      <c r="AM25" s="66" t="s">
        <v>29</v>
      </c>
      <c r="AN25" s="67">
        <f>$AJ$52</f>
        <v>0</v>
      </c>
      <c r="AO25" s="73"/>
      <c r="AP25" s="8"/>
    </row>
    <row r="26" spans="2:42" ht="15.75">
      <c r="B26" s="44" t="s">
        <v>30</v>
      </c>
      <c r="C26" s="45">
        <v>1479.4</v>
      </c>
      <c r="D26" s="45"/>
      <c r="E26" s="17"/>
      <c r="F26" s="17"/>
      <c r="G26" s="17"/>
      <c r="H26" s="17"/>
      <c r="I26" s="17"/>
      <c r="J26" s="17"/>
      <c r="K26" s="17"/>
      <c r="L26" s="17"/>
      <c r="M26" s="17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0</v>
      </c>
      <c r="AK26" s="41">
        <f t="shared" si="4"/>
        <v>-1479.4</v>
      </c>
      <c r="AL26" s="7"/>
      <c r="AM26" s="66" t="s">
        <v>31</v>
      </c>
      <c r="AN26" s="67">
        <f>$AJ$56</f>
        <v>0</v>
      </c>
      <c r="AO26" s="73"/>
      <c r="AP26" s="8"/>
    </row>
    <row r="27" spans="2:42" ht="15.75">
      <c r="B27" s="44" t="s">
        <v>22</v>
      </c>
      <c r="C27" s="45">
        <v>4662.571</v>
      </c>
      <c r="D27" s="45"/>
      <c r="E27" s="17"/>
      <c r="F27" s="17"/>
      <c r="G27" s="17"/>
      <c r="H27" s="17"/>
      <c r="I27" s="17"/>
      <c r="J27" s="17"/>
      <c r="K27" s="17"/>
      <c r="L27" s="17"/>
      <c r="M27" s="17"/>
      <c r="N27" s="2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22"/>
      <c r="AE27" s="22"/>
      <c r="AF27" s="22"/>
      <c r="AG27" s="22"/>
      <c r="AH27" s="17"/>
      <c r="AI27" s="17"/>
      <c r="AJ27" s="17">
        <f>SUM(D27:AI27)</f>
        <v>0</v>
      </c>
      <c r="AK27" s="41">
        <f t="shared" si="4"/>
        <v>-4662.571</v>
      </c>
      <c r="AL27" s="7"/>
      <c r="AM27" s="66" t="s">
        <v>32</v>
      </c>
      <c r="AN27" s="67">
        <f>$AJ$49+$AJ$73+$AJ$79+$AJ$80+$AJ$85+$AJ$75+$AJ$77+$AJ$81+$AJ$82+$AJ$84+$AJ$78+$AJ$83</f>
        <v>1243.58</v>
      </c>
      <c r="AO27" s="73"/>
      <c r="AP27" s="8"/>
    </row>
    <row r="28" spans="2:42" ht="15.75">
      <c r="B28" s="44" t="s">
        <v>24</v>
      </c>
      <c r="C28" s="45">
        <v>1754.34</v>
      </c>
      <c r="D28" s="4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>
        <f>SUM(D28:AI28)</f>
        <v>0</v>
      </c>
      <c r="AK28" s="41">
        <f t="shared" si="4"/>
        <v>-1754.34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858.207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0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0</v>
      </c>
      <c r="AK29" s="41">
        <f t="shared" si="4"/>
        <v>-858.207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858.207</v>
      </c>
      <c r="D30" s="3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0</v>
      </c>
      <c r="AK30" s="41">
        <f t="shared" si="4"/>
        <v>-858.207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708.257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>
        <f>SUM(D32:AI32)</f>
        <v>0</v>
      </c>
      <c r="AK32" s="41">
        <f t="shared" si="4"/>
        <v>-708.257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287.55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0</v>
      </c>
      <c r="AK33" s="41">
        <f t="shared" si="4"/>
        <v>-287.55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60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-60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57.75">
      <c r="B35" s="42" t="s">
        <v>40</v>
      </c>
      <c r="C35" s="43">
        <v>143.3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>SUM(D35:AI35)</f>
        <v>0</v>
      </c>
      <c r="AK35" s="41">
        <f t="shared" si="4"/>
        <v>-143.3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817.195</v>
      </c>
      <c r="D36" s="43">
        <f t="shared" si="8"/>
        <v>0</v>
      </c>
      <c r="E36" s="43">
        <f t="shared" si="8"/>
        <v>0</v>
      </c>
      <c r="F36" s="43">
        <f t="shared" si="8"/>
        <v>0</v>
      </c>
      <c r="G36" s="43">
        <f t="shared" si="8"/>
        <v>0</v>
      </c>
      <c r="H36" s="43">
        <f t="shared" si="8"/>
        <v>0</v>
      </c>
      <c r="I36" s="43">
        <f t="shared" si="8"/>
        <v>0</v>
      </c>
      <c r="J36" s="43">
        <f t="shared" si="8"/>
        <v>0</v>
      </c>
      <c r="K36" s="43">
        <f t="shared" si="8"/>
        <v>0</v>
      </c>
      <c r="L36" s="43">
        <f t="shared" si="8"/>
        <v>0</v>
      </c>
      <c r="M36" s="43">
        <f t="shared" si="8"/>
        <v>0</v>
      </c>
      <c r="N36" s="43">
        <f t="shared" si="8"/>
        <v>0</v>
      </c>
      <c r="O36" s="43">
        <f t="shared" si="8"/>
        <v>0</v>
      </c>
      <c r="P36" s="43">
        <f t="shared" si="8"/>
        <v>0</v>
      </c>
      <c r="Q36" s="43">
        <f t="shared" si="8"/>
        <v>0</v>
      </c>
      <c r="R36" s="43">
        <f t="shared" si="8"/>
        <v>0</v>
      </c>
      <c r="S36" s="43">
        <f t="shared" si="8"/>
        <v>0</v>
      </c>
      <c r="T36" s="43">
        <f t="shared" si="8"/>
        <v>0</v>
      </c>
      <c r="U36" s="43">
        <f t="shared" si="8"/>
        <v>0</v>
      </c>
      <c r="V36" s="43">
        <f t="shared" si="8"/>
        <v>0</v>
      </c>
      <c r="W36" s="43">
        <f t="shared" si="8"/>
        <v>0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0</v>
      </c>
      <c r="AB36" s="43">
        <f t="shared" si="8"/>
        <v>0</v>
      </c>
      <c r="AC36" s="43">
        <f t="shared" si="8"/>
        <v>0</v>
      </c>
      <c r="AD36" s="43">
        <f t="shared" si="8"/>
        <v>0</v>
      </c>
      <c r="AE36" s="43">
        <f t="shared" si="8"/>
        <v>0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0</v>
      </c>
      <c r="AK36" s="41">
        <f t="shared" si="4"/>
        <v>-817.195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707.035</v>
      </c>
      <c r="D37" s="45"/>
      <c r="E37" s="17"/>
      <c r="F37" s="17"/>
      <c r="G37" s="17"/>
      <c r="H37" s="17"/>
      <c r="I37" s="17"/>
      <c r="J37" s="17"/>
      <c r="K37" s="17"/>
      <c r="L37" s="17"/>
      <c r="M37" s="17"/>
      <c r="N37" s="22"/>
      <c r="O37" s="17"/>
      <c r="P37" s="17"/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/>
      <c r="AB37" s="17"/>
      <c r="AC37" s="17"/>
      <c r="AD37" s="22"/>
      <c r="AE37" s="22"/>
      <c r="AF37" s="22"/>
      <c r="AG37" s="22"/>
      <c r="AH37" s="17"/>
      <c r="AI37" s="17"/>
      <c r="AJ37" s="17">
        <f>SUM(D37:AI37)</f>
        <v>0</v>
      </c>
      <c r="AK37" s="41">
        <f t="shared" si="4"/>
        <v>-707.035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1.815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SUM(D38:AI38)</f>
        <v>0</v>
      </c>
      <c r="AK38" s="41">
        <f t="shared" si="4"/>
        <v>-1.815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85.964</v>
      </c>
      <c r="D39" s="45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50"/>
      <c r="W39" s="17"/>
      <c r="X39" s="17"/>
      <c r="Y39" s="17"/>
      <c r="Z39" s="50"/>
      <c r="AA39" s="17"/>
      <c r="AB39" s="17"/>
      <c r="AC39" s="17"/>
      <c r="AD39" s="22"/>
      <c r="AE39" s="22"/>
      <c r="AF39" s="22"/>
      <c r="AG39" s="22"/>
      <c r="AH39" s="17"/>
      <c r="AI39" s="17"/>
      <c r="AJ39" s="17">
        <f>SUM(D39:AI39)</f>
        <v>0</v>
      </c>
      <c r="AK39" s="41">
        <f t="shared" si="4"/>
        <v>-85.964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22.381</v>
      </c>
      <c r="D40" s="45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f>SUM(D40:AI40)</f>
        <v>0</v>
      </c>
      <c r="AK40" s="41">
        <f t="shared" si="4"/>
        <v>-22.381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304.52099999999996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</v>
      </c>
      <c r="L41" s="43">
        <f t="shared" si="9"/>
        <v>0</v>
      </c>
      <c r="M41" s="43">
        <f t="shared" si="9"/>
        <v>0</v>
      </c>
      <c r="N41" s="43">
        <f t="shared" si="9"/>
        <v>0</v>
      </c>
      <c r="O41" s="43">
        <f t="shared" si="9"/>
        <v>0</v>
      </c>
      <c r="P41" s="43">
        <f t="shared" si="9"/>
        <v>0</v>
      </c>
      <c r="Q41" s="43">
        <f t="shared" si="9"/>
        <v>0</v>
      </c>
      <c r="R41" s="43">
        <f t="shared" si="9"/>
        <v>0</v>
      </c>
      <c r="S41" s="43">
        <f t="shared" si="9"/>
        <v>0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0</v>
      </c>
      <c r="Z41" s="43">
        <f t="shared" si="9"/>
        <v>0</v>
      </c>
      <c r="AA41" s="43">
        <f t="shared" si="9"/>
        <v>0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0</v>
      </c>
      <c r="AK41" s="41">
        <f t="shared" si="4"/>
        <v>-304.52099999999996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264.727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/>
      <c r="O42" s="17"/>
      <c r="P42" s="17"/>
      <c r="Q42" s="17"/>
      <c r="R42" s="17"/>
      <c r="S42" s="17"/>
      <c r="T42" s="17"/>
      <c r="U42" s="17"/>
      <c r="V42" s="50"/>
      <c r="W42" s="17"/>
      <c r="X42" s="17"/>
      <c r="Y42" s="17"/>
      <c r="Z42" s="50"/>
      <c r="AA42" s="17"/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0</v>
      </c>
      <c r="AK42" s="41">
        <f t="shared" si="4"/>
        <v>-264.727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27.498</v>
      </c>
      <c r="D43" s="45"/>
      <c r="E43" s="17"/>
      <c r="F43" s="17"/>
      <c r="G43" s="17"/>
      <c r="H43" s="17"/>
      <c r="I43" s="17"/>
      <c r="J43" s="17"/>
      <c r="K43" s="17"/>
      <c r="L43" s="17"/>
      <c r="M43" s="17"/>
      <c r="N43" s="22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0</v>
      </c>
      <c r="AK43" s="41">
        <f t="shared" si="4"/>
        <v>-27.498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12.296</v>
      </c>
      <c r="D44" s="45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0</v>
      </c>
      <c r="AK44" s="41">
        <f t="shared" si="4"/>
        <v>-12.296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195.191</v>
      </c>
      <c r="D45" s="43">
        <f t="shared" si="10"/>
        <v>0</v>
      </c>
      <c r="E45" s="43">
        <f t="shared" si="10"/>
        <v>0</v>
      </c>
      <c r="F45" s="43">
        <f t="shared" si="10"/>
        <v>0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0</v>
      </c>
      <c r="L45" s="43">
        <f t="shared" si="10"/>
        <v>0</v>
      </c>
      <c r="M45" s="43">
        <f t="shared" si="10"/>
        <v>0</v>
      </c>
      <c r="N45" s="43">
        <f t="shared" si="10"/>
        <v>0</v>
      </c>
      <c r="O45" s="43">
        <f t="shared" si="10"/>
        <v>0</v>
      </c>
      <c r="P45" s="43">
        <f t="shared" si="10"/>
        <v>0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0</v>
      </c>
      <c r="X45" s="43">
        <f t="shared" si="10"/>
        <v>0</v>
      </c>
      <c r="Y45" s="43">
        <f t="shared" si="10"/>
        <v>0</v>
      </c>
      <c r="Z45" s="43">
        <f t="shared" si="10"/>
        <v>0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0</v>
      </c>
      <c r="AK45" s="41">
        <f t="shared" si="4"/>
        <v>-195.191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176.916</v>
      </c>
      <c r="D46" s="45"/>
      <c r="E46" s="17"/>
      <c r="F46" s="17"/>
      <c r="G46" s="17"/>
      <c r="H46" s="17"/>
      <c r="I46" s="17"/>
      <c r="J46" s="17"/>
      <c r="K46" s="17"/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0</v>
      </c>
      <c r="AK46" s="41">
        <f t="shared" si="4"/>
        <v>-176.916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9.205</v>
      </c>
      <c r="D47" s="45"/>
      <c r="E47" s="17"/>
      <c r="F47" s="17"/>
      <c r="G47" s="17"/>
      <c r="H47" s="17"/>
      <c r="I47" s="17"/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0</v>
      </c>
      <c r="AK47" s="41">
        <f t="shared" si="4"/>
        <v>-9.205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9.07</v>
      </c>
      <c r="D48" s="4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0</v>
      </c>
      <c r="AK48" s="41">
        <f t="shared" si="4"/>
        <v>-9.07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38.973</v>
      </c>
      <c r="D49" s="43">
        <f aca="true" t="shared" si="11" ref="D49:AH49">D50+D51</f>
        <v>0</v>
      </c>
      <c r="E49" s="43">
        <f t="shared" si="11"/>
        <v>0</v>
      </c>
      <c r="F49" s="43">
        <f t="shared" si="11"/>
        <v>0</v>
      </c>
      <c r="G49" s="43">
        <f t="shared" si="11"/>
        <v>0</v>
      </c>
      <c r="H49" s="43">
        <f t="shared" si="11"/>
        <v>0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0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0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0</v>
      </c>
      <c r="AK49" s="41">
        <f t="shared" si="4"/>
        <v>-38.973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12.842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0</v>
      </c>
      <c r="AK50" s="41">
        <f t="shared" si="4"/>
        <v>-12.842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26.131</v>
      </c>
      <c r="D51" s="3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0</v>
      </c>
      <c r="AK51" s="41">
        <f t="shared" si="4"/>
        <v>-26.131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1175.589</v>
      </c>
      <c r="D52" s="43">
        <f t="shared" si="12"/>
        <v>0</v>
      </c>
      <c r="E52" s="43">
        <f t="shared" si="12"/>
        <v>0</v>
      </c>
      <c r="F52" s="43">
        <f t="shared" si="12"/>
        <v>0</v>
      </c>
      <c r="G52" s="43">
        <f t="shared" si="12"/>
        <v>0</v>
      </c>
      <c r="H52" s="43">
        <f t="shared" si="12"/>
        <v>0</v>
      </c>
      <c r="I52" s="43">
        <f t="shared" si="12"/>
        <v>0</v>
      </c>
      <c r="J52" s="43">
        <f t="shared" si="12"/>
        <v>0</v>
      </c>
      <c r="K52" s="43">
        <f t="shared" si="12"/>
        <v>0</v>
      </c>
      <c r="L52" s="43">
        <f t="shared" si="12"/>
        <v>0</v>
      </c>
      <c r="M52" s="43">
        <f t="shared" si="12"/>
        <v>0</v>
      </c>
      <c r="N52" s="43">
        <f t="shared" si="12"/>
        <v>0</v>
      </c>
      <c r="O52" s="43">
        <f t="shared" si="12"/>
        <v>0</v>
      </c>
      <c r="P52" s="43">
        <f t="shared" si="12"/>
        <v>0</v>
      </c>
      <c r="Q52" s="43">
        <f t="shared" si="12"/>
        <v>0</v>
      </c>
      <c r="R52" s="43">
        <f t="shared" si="12"/>
        <v>0</v>
      </c>
      <c r="S52" s="43">
        <f t="shared" si="12"/>
        <v>0</v>
      </c>
      <c r="T52" s="43">
        <f t="shared" si="12"/>
        <v>0</v>
      </c>
      <c r="U52" s="43">
        <f t="shared" si="12"/>
        <v>0</v>
      </c>
      <c r="V52" s="43">
        <f t="shared" si="12"/>
        <v>0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0</v>
      </c>
      <c r="AB52" s="43">
        <f t="shared" si="12"/>
        <v>0</v>
      </c>
      <c r="AC52" s="43">
        <f t="shared" si="12"/>
        <v>0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0</v>
      </c>
      <c r="AK52" s="41">
        <f t="shared" si="4"/>
        <v>-1175.589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773.635</v>
      </c>
      <c r="D53" s="45"/>
      <c r="E53" s="17"/>
      <c r="F53" s="17"/>
      <c r="G53" s="17"/>
      <c r="H53" s="17"/>
      <c r="I53" s="17"/>
      <c r="J53" s="17"/>
      <c r="K53" s="17"/>
      <c r="L53" s="17"/>
      <c r="M53" s="17"/>
      <c r="N53" s="22"/>
      <c r="O53" s="17"/>
      <c r="P53" s="17"/>
      <c r="Q53" s="17"/>
      <c r="R53" s="17"/>
      <c r="S53" s="17"/>
      <c r="T53" s="17"/>
      <c r="U53" s="17"/>
      <c r="V53" s="50"/>
      <c r="W53" s="17"/>
      <c r="X53" s="17"/>
      <c r="Y53" s="17"/>
      <c r="Z53" s="50"/>
      <c r="AA53" s="17"/>
      <c r="AB53" s="17"/>
      <c r="AC53" s="17"/>
      <c r="AD53" s="22"/>
      <c r="AE53" s="22"/>
      <c r="AF53" s="22"/>
      <c r="AG53" s="22"/>
      <c r="AH53" s="17"/>
      <c r="AI53" s="17"/>
      <c r="AJ53" s="17">
        <f>SUM(D53:AI53)</f>
        <v>0</v>
      </c>
      <c r="AK53" s="41">
        <f t="shared" si="4"/>
        <v>-773.635</v>
      </c>
    </row>
    <row r="54" spans="2:37" ht="15.75">
      <c r="B54" s="44" t="s">
        <v>22</v>
      </c>
      <c r="C54" s="45">
        <v>238.94</v>
      </c>
      <c r="D54" s="45"/>
      <c r="E54" s="17"/>
      <c r="F54" s="17"/>
      <c r="G54" s="17"/>
      <c r="H54" s="17"/>
      <c r="I54" s="17"/>
      <c r="J54" s="17"/>
      <c r="K54" s="17"/>
      <c r="L54" s="17"/>
      <c r="M54" s="17"/>
      <c r="N54" s="22"/>
      <c r="O54" s="17"/>
      <c r="P54" s="17"/>
      <c r="Q54" s="17"/>
      <c r="R54" s="17"/>
      <c r="S54" s="17"/>
      <c r="T54" s="17"/>
      <c r="U54" s="17"/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SUM(D54:AI54)</f>
        <v>0</v>
      </c>
      <c r="AK54" s="41">
        <f t="shared" si="4"/>
        <v>-238.94</v>
      </c>
    </row>
    <row r="55" spans="2:38" ht="15.75">
      <c r="B55" s="44" t="s">
        <v>24</v>
      </c>
      <c r="C55" s="45">
        <v>163.014</v>
      </c>
      <c r="D55" s="45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SUM(D55:AI55)</f>
        <v>0</v>
      </c>
      <c r="AK55" s="41">
        <f t="shared" si="4"/>
        <v>-163.014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909.884</v>
      </c>
      <c r="D56" s="43">
        <f aca="true" t="shared" si="13" ref="D56:AJ56">SUM(D57:D61)</f>
        <v>0</v>
      </c>
      <c r="E56" s="43">
        <f t="shared" si="13"/>
        <v>0</v>
      </c>
      <c r="F56" s="43">
        <f t="shared" si="13"/>
        <v>0</v>
      </c>
      <c r="G56" s="43">
        <f t="shared" si="13"/>
        <v>0</v>
      </c>
      <c r="H56" s="43">
        <f t="shared" si="13"/>
        <v>0</v>
      </c>
      <c r="I56" s="43">
        <f t="shared" si="13"/>
        <v>0</v>
      </c>
      <c r="J56" s="43">
        <f t="shared" si="13"/>
        <v>0</v>
      </c>
      <c r="K56" s="43">
        <f t="shared" si="13"/>
        <v>0</v>
      </c>
      <c r="L56" s="43">
        <f t="shared" si="13"/>
        <v>0</v>
      </c>
      <c r="M56" s="43">
        <f t="shared" si="13"/>
        <v>0</v>
      </c>
      <c r="N56" s="43">
        <f t="shared" si="13"/>
        <v>0</v>
      </c>
      <c r="O56" s="43">
        <f t="shared" si="13"/>
        <v>0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0</v>
      </c>
      <c r="W56" s="43">
        <f t="shared" si="13"/>
        <v>0</v>
      </c>
      <c r="X56" s="43">
        <f t="shared" si="13"/>
        <v>0</v>
      </c>
      <c r="Y56" s="43">
        <f t="shared" si="13"/>
        <v>0</v>
      </c>
      <c r="Z56" s="43">
        <f t="shared" si="13"/>
        <v>0</v>
      </c>
      <c r="AA56" s="43">
        <f t="shared" si="13"/>
        <v>0</v>
      </c>
      <c r="AB56" s="43">
        <f t="shared" si="13"/>
        <v>0</v>
      </c>
      <c r="AC56" s="43">
        <f t="shared" si="13"/>
        <v>0</v>
      </c>
      <c r="AD56" s="43">
        <f t="shared" si="13"/>
        <v>0</v>
      </c>
      <c r="AE56" s="43">
        <f t="shared" si="13"/>
        <v>0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0</v>
      </c>
      <c r="AK56" s="41">
        <f t="shared" si="4"/>
        <v>-909.884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518.183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/>
      <c r="O57" s="17"/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/>
      <c r="AB57" s="17"/>
      <c r="AC57" s="17"/>
      <c r="AD57" s="22"/>
      <c r="AE57" s="22"/>
      <c r="AF57" s="22"/>
      <c r="AG57" s="22"/>
      <c r="AH57" s="17"/>
      <c r="AI57" s="17"/>
      <c r="AJ57" s="17">
        <f>SUM(D57:AI57)</f>
        <v>0</v>
      </c>
      <c r="AK57" s="41">
        <f t="shared" si="4"/>
        <v>-518.183</v>
      </c>
    </row>
    <row r="58" spans="2:37" ht="15.75">
      <c r="B58" s="44" t="s">
        <v>28</v>
      </c>
      <c r="C58" s="45">
        <v>0.76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0</v>
      </c>
      <c r="AK58" s="41">
        <f t="shared" si="4"/>
        <v>-0.76</v>
      </c>
    </row>
    <row r="59" spans="2:37" ht="15.75">
      <c r="B59" s="44" t="s">
        <v>22</v>
      </c>
      <c r="C59" s="45">
        <v>143.979</v>
      </c>
      <c r="D59" s="45"/>
      <c r="E59" s="17"/>
      <c r="F59" s="17"/>
      <c r="G59" s="17"/>
      <c r="H59" s="17"/>
      <c r="I59" s="17"/>
      <c r="J59" s="17"/>
      <c r="K59" s="17"/>
      <c r="L59" s="17"/>
      <c r="M59" s="17"/>
      <c r="N59" s="22"/>
      <c r="O59" s="17"/>
      <c r="P59" s="17"/>
      <c r="Q59" s="17"/>
      <c r="R59" s="17"/>
      <c r="S59" s="17"/>
      <c r="T59" s="17"/>
      <c r="U59" s="17"/>
      <c r="V59" s="50"/>
      <c r="W59" s="17"/>
      <c r="X59" s="17"/>
      <c r="Y59" s="17"/>
      <c r="Z59" s="17"/>
      <c r="AA59" s="17"/>
      <c r="AB59" s="17"/>
      <c r="AC59" s="17"/>
      <c r="AD59" s="22"/>
      <c r="AE59" s="22"/>
      <c r="AF59" s="22"/>
      <c r="AG59" s="22"/>
      <c r="AH59" s="17"/>
      <c r="AI59" s="17"/>
      <c r="AJ59" s="17">
        <f>SUM(D59:AI59)</f>
        <v>0</v>
      </c>
      <c r="AK59" s="41">
        <f t="shared" si="4"/>
        <v>-143.979</v>
      </c>
    </row>
    <row r="60" spans="2:37" ht="15.75">
      <c r="B60" s="44" t="s">
        <v>34</v>
      </c>
      <c r="C60" s="45">
        <v>37.562</v>
      </c>
      <c r="D60" s="45"/>
      <c r="E60" s="17"/>
      <c r="F60" s="17"/>
      <c r="G60" s="17"/>
      <c r="H60" s="17"/>
      <c r="I60" s="17"/>
      <c r="J60" s="17"/>
      <c r="K60" s="17"/>
      <c r="L60" s="17"/>
      <c r="M60" s="17"/>
      <c r="N60" s="22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0</v>
      </c>
      <c r="AK60" s="41">
        <f t="shared" si="4"/>
        <v>-37.562</v>
      </c>
    </row>
    <row r="61" spans="2:37" ht="15.75">
      <c r="B61" s="44" t="s">
        <v>24</v>
      </c>
      <c r="C61" s="45">
        <v>209.4</v>
      </c>
      <c r="D61" s="45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>
        <f>SUM(D61:AI61)</f>
        <v>0</v>
      </c>
      <c r="AK61" s="41">
        <f t="shared" si="4"/>
        <v>-209.4</v>
      </c>
    </row>
    <row r="62" spans="2:37" ht="43.5">
      <c r="B62" s="42" t="s">
        <v>48</v>
      </c>
      <c r="C62" s="43">
        <f>C63</f>
        <v>600</v>
      </c>
      <c r="D62" s="43"/>
      <c r="E62" s="43">
        <f>E63</f>
        <v>0</v>
      </c>
      <c r="F62" s="43">
        <f aca="true" t="shared" si="14" ref="F62:AH62">F63</f>
        <v>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/>
      <c r="K62" s="43"/>
      <c r="L62" s="43"/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/>
      <c r="R62" s="43"/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/>
      <c r="Y62" s="43"/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/>
      <c r="AF62" s="43"/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0</v>
      </c>
      <c r="AK62" s="41">
        <f t="shared" si="4"/>
        <v>-600</v>
      </c>
    </row>
    <row r="63" spans="2:37" ht="15.75">
      <c r="B63" s="44" t="s">
        <v>34</v>
      </c>
      <c r="C63" s="45">
        <v>600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0</v>
      </c>
      <c r="AK63" s="41">
        <f t="shared" si="4"/>
        <v>-600</v>
      </c>
    </row>
    <row r="64" spans="2:37" ht="72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3465.914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0</v>
      </c>
      <c r="G66" s="43">
        <f t="shared" si="16"/>
        <v>0</v>
      </c>
      <c r="H66" s="43">
        <f t="shared" si="16"/>
        <v>0</v>
      </c>
      <c r="I66" s="43">
        <f t="shared" si="16"/>
        <v>0</v>
      </c>
      <c r="J66" s="43">
        <f t="shared" si="16"/>
        <v>0</v>
      </c>
      <c r="K66" s="43">
        <f t="shared" si="16"/>
        <v>0</v>
      </c>
      <c r="L66" s="43">
        <f t="shared" si="16"/>
        <v>0</v>
      </c>
      <c r="M66" s="43">
        <f t="shared" si="16"/>
        <v>0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0</v>
      </c>
      <c r="R66" s="43">
        <f t="shared" si="16"/>
        <v>0</v>
      </c>
      <c r="S66" s="43">
        <f t="shared" si="16"/>
        <v>0</v>
      </c>
      <c r="T66" s="43">
        <f t="shared" si="16"/>
        <v>0</v>
      </c>
      <c r="U66" s="43">
        <f t="shared" si="16"/>
        <v>0</v>
      </c>
      <c r="V66" s="43">
        <f t="shared" si="16"/>
        <v>0</v>
      </c>
      <c r="W66" s="43">
        <f t="shared" si="16"/>
        <v>0</v>
      </c>
      <c r="X66" s="43">
        <f t="shared" si="16"/>
        <v>0</v>
      </c>
      <c r="Y66" s="43">
        <f t="shared" si="16"/>
        <v>0</v>
      </c>
      <c r="Z66" s="43">
        <f t="shared" si="16"/>
        <v>0</v>
      </c>
      <c r="AA66" s="43">
        <f t="shared" si="16"/>
        <v>0</v>
      </c>
      <c r="AB66" s="43">
        <f t="shared" si="16"/>
        <v>0</v>
      </c>
      <c r="AC66" s="43">
        <f t="shared" si="16"/>
        <v>0</v>
      </c>
      <c r="AD66" s="43">
        <f t="shared" si="16"/>
        <v>0</v>
      </c>
      <c r="AE66" s="43">
        <f t="shared" si="16"/>
        <v>0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0</v>
      </c>
      <c r="AK66" s="41">
        <f t="shared" si="4"/>
        <v>-3465.914</v>
      </c>
    </row>
    <row r="67" spans="2:37" ht="15.75">
      <c r="B67" s="56" t="s">
        <v>50</v>
      </c>
      <c r="C67" s="34">
        <v>452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>
        <f>SUM(D67:AI67)</f>
        <v>0</v>
      </c>
      <c r="AK67" s="41">
        <f t="shared" si="4"/>
        <v>-452</v>
      </c>
    </row>
    <row r="68" spans="2:37" ht="15.75">
      <c r="B68" s="56" t="s">
        <v>34</v>
      </c>
      <c r="C68" s="34">
        <v>3013.914</v>
      </c>
      <c r="D68" s="34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>
        <f>SUM(D68:AI68)</f>
        <v>0</v>
      </c>
      <c r="AK68" s="41">
        <f t="shared" si="4"/>
        <v>-3013.914</v>
      </c>
    </row>
    <row r="69" spans="2:37" ht="15.75">
      <c r="B69" s="42" t="s">
        <v>51</v>
      </c>
      <c r="C69" s="43">
        <f>C70+C71</f>
        <v>18.399</v>
      </c>
      <c r="D69" s="43">
        <f aca="true" t="shared" si="17" ref="D69:AJ69">D70+D71</f>
        <v>0</v>
      </c>
      <c r="E69" s="43">
        <f t="shared" si="17"/>
        <v>0</v>
      </c>
      <c r="F69" s="43">
        <f t="shared" si="17"/>
        <v>0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0</v>
      </c>
      <c r="N69" s="43">
        <f t="shared" si="17"/>
        <v>0</v>
      </c>
      <c r="O69" s="43">
        <f t="shared" si="17"/>
        <v>0</v>
      </c>
      <c r="P69" s="43">
        <f t="shared" si="17"/>
        <v>0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0</v>
      </c>
      <c r="AK69" s="41">
        <f t="shared" si="4"/>
        <v>-18.399</v>
      </c>
    </row>
    <row r="70" spans="2:37" ht="15.75">
      <c r="B70" s="44" t="s">
        <v>22</v>
      </c>
      <c r="C70" s="34">
        <v>14.476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0</v>
      </c>
      <c r="AK70" s="41">
        <f t="shared" si="4"/>
        <v>-14.476</v>
      </c>
    </row>
    <row r="71" spans="2:37" ht="15.75">
      <c r="B71" s="44" t="s">
        <v>34</v>
      </c>
      <c r="C71" s="34">
        <v>3.923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0</v>
      </c>
      <c r="AK71" s="41">
        <f t="shared" si="4"/>
        <v>-3.923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1368.3</v>
      </c>
      <c r="D73" s="43">
        <f aca="true" t="shared" si="18" ref="D73:AJ73">D74</f>
        <v>0</v>
      </c>
      <c r="E73" s="43">
        <f t="shared" si="18"/>
        <v>0</v>
      </c>
      <c r="F73" s="43">
        <f t="shared" si="18"/>
        <v>0</v>
      </c>
      <c r="G73" s="43">
        <f t="shared" si="18"/>
        <v>0</v>
      </c>
      <c r="H73" s="43">
        <f t="shared" si="18"/>
        <v>0</v>
      </c>
      <c r="I73" s="43">
        <f t="shared" si="18"/>
        <v>0</v>
      </c>
      <c r="J73" s="43">
        <f t="shared" si="18"/>
        <v>0</v>
      </c>
      <c r="K73" s="43">
        <f t="shared" si="18"/>
        <v>0</v>
      </c>
      <c r="L73" s="43">
        <f t="shared" si="18"/>
        <v>0</v>
      </c>
      <c r="M73" s="43">
        <f t="shared" si="18"/>
        <v>0</v>
      </c>
      <c r="N73" s="43">
        <f t="shared" si="18"/>
        <v>0</v>
      </c>
      <c r="O73" s="43">
        <f t="shared" si="18"/>
        <v>0</v>
      </c>
      <c r="P73" s="43">
        <f t="shared" si="18"/>
        <v>0</v>
      </c>
      <c r="Q73" s="43">
        <f t="shared" si="18"/>
        <v>0</v>
      </c>
      <c r="R73" s="43">
        <f t="shared" si="18"/>
        <v>0</v>
      </c>
      <c r="S73" s="43">
        <f t="shared" si="18"/>
        <v>0</v>
      </c>
      <c r="T73" s="43">
        <f t="shared" si="18"/>
        <v>0</v>
      </c>
      <c r="U73" s="43">
        <f t="shared" si="18"/>
        <v>0</v>
      </c>
      <c r="V73" s="43">
        <f t="shared" si="18"/>
        <v>0</v>
      </c>
      <c r="W73" s="43">
        <f t="shared" si="18"/>
        <v>0</v>
      </c>
      <c r="X73" s="43">
        <f t="shared" si="18"/>
        <v>0</v>
      </c>
      <c r="Y73" s="43">
        <f t="shared" si="18"/>
        <v>0</v>
      </c>
      <c r="Z73" s="43">
        <f t="shared" si="18"/>
        <v>0</v>
      </c>
      <c r="AA73" s="43">
        <f t="shared" si="18"/>
        <v>0</v>
      </c>
      <c r="AB73" s="43">
        <f t="shared" si="18"/>
        <v>0</v>
      </c>
      <c r="AC73" s="43">
        <f t="shared" si="18"/>
        <v>0</v>
      </c>
      <c r="AD73" s="43">
        <f t="shared" si="18"/>
        <v>0</v>
      </c>
      <c r="AE73" s="43">
        <f t="shared" si="18"/>
        <v>0</v>
      </c>
      <c r="AF73" s="43">
        <f t="shared" si="18"/>
        <v>0</v>
      </c>
      <c r="AG73" s="43">
        <f t="shared" si="18"/>
        <v>0</v>
      </c>
      <c r="AH73" s="43">
        <f t="shared" si="18"/>
        <v>0</v>
      </c>
      <c r="AI73" s="43">
        <f t="shared" si="18"/>
        <v>0</v>
      </c>
      <c r="AJ73" s="43">
        <f t="shared" si="18"/>
        <v>0</v>
      </c>
      <c r="AK73" s="41">
        <f t="shared" si="4"/>
        <v>-1368.3</v>
      </c>
      <c r="AL73" s="26"/>
    </row>
    <row r="74" spans="2:49" s="26" customFormat="1" ht="15.75">
      <c r="B74" s="56" t="s">
        <v>50</v>
      </c>
      <c r="C74" s="34">
        <v>1368.3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>SUM(D74:AI74)</f>
        <v>0</v>
      </c>
      <c r="AK74" s="41">
        <f t="shared" si="4"/>
        <v>-1368.3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>
      <c r="B75" s="57" t="s">
        <v>54</v>
      </c>
      <c r="C75" s="43">
        <v>50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>SUM(D75:AI75)</f>
        <v>0</v>
      </c>
      <c r="AK75" s="41">
        <f t="shared" si="4"/>
        <v>-50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133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aca="true" t="shared" si="19" ref="AJ76:AJ85">SUM(D76:AI76)</f>
        <v>0</v>
      </c>
      <c r="AK76" s="41">
        <f t="shared" si="4"/>
        <v>-133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28.5">
      <c r="B77" s="57" t="s">
        <v>56</v>
      </c>
      <c r="C77" s="43">
        <v>8.6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19"/>
        <v>0</v>
      </c>
      <c r="AK77" s="41">
        <f t="shared" si="4"/>
        <v>-8.6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277.4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>
        <f t="shared" si="19"/>
        <v>0</v>
      </c>
      <c r="AK78" s="41">
        <f t="shared" si="4"/>
        <v>-277.4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v>60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-60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aca="true" t="shared" si="20" ref="AK82:AK93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42.75" customHeight="1">
      <c r="B83" s="42" t="s">
        <v>76</v>
      </c>
      <c r="C83" s="43">
        <v>500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19"/>
        <v>0</v>
      </c>
      <c r="AK83" s="41"/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57.75">
      <c r="B84" s="42" t="s">
        <v>61</v>
      </c>
      <c r="C84" s="43">
        <v>150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0</v>
      </c>
      <c r="AK84" s="41">
        <f t="shared" si="20"/>
        <v>-150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43.5">
      <c r="B85" s="42" t="s">
        <v>62</v>
      </c>
      <c r="C85" s="43"/>
      <c r="D85" s="43">
        <v>1243.58</v>
      </c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>
        <f t="shared" si="19"/>
        <v>1243.58</v>
      </c>
      <c r="AK85" s="41">
        <f t="shared" si="20"/>
        <v>1243.58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15.75">
      <c r="B86" s="58" t="s">
        <v>63</v>
      </c>
      <c r="C86" s="59">
        <f>SUM(C87:C93)</f>
        <v>37538.971999999994</v>
      </c>
      <c r="D86" s="59">
        <f aca="true" t="shared" si="21" ref="D86:AJ86">SUM(D87:D93)</f>
        <v>1243.58</v>
      </c>
      <c r="E86" s="59">
        <f t="shared" si="21"/>
        <v>0</v>
      </c>
      <c r="F86" s="59">
        <f t="shared" si="21"/>
        <v>0</v>
      </c>
      <c r="G86" s="59">
        <f t="shared" si="21"/>
        <v>0</v>
      </c>
      <c r="H86" s="59">
        <f t="shared" si="21"/>
        <v>0</v>
      </c>
      <c r="I86" s="59">
        <f t="shared" si="21"/>
        <v>0</v>
      </c>
      <c r="J86" s="59">
        <f t="shared" si="21"/>
        <v>0</v>
      </c>
      <c r="K86" s="59">
        <f t="shared" si="21"/>
        <v>0</v>
      </c>
      <c r="L86" s="59">
        <f t="shared" si="21"/>
        <v>0</v>
      </c>
      <c r="M86" s="59">
        <f t="shared" si="21"/>
        <v>0</v>
      </c>
      <c r="N86" s="59">
        <f t="shared" si="21"/>
        <v>0</v>
      </c>
      <c r="O86" s="59">
        <f t="shared" si="21"/>
        <v>0</v>
      </c>
      <c r="P86" s="59">
        <f t="shared" si="21"/>
        <v>0</v>
      </c>
      <c r="Q86" s="59">
        <f t="shared" si="21"/>
        <v>0</v>
      </c>
      <c r="R86" s="59">
        <f t="shared" si="21"/>
        <v>0</v>
      </c>
      <c r="S86" s="59">
        <f t="shared" si="21"/>
        <v>0</v>
      </c>
      <c r="T86" s="59">
        <f t="shared" si="21"/>
        <v>0</v>
      </c>
      <c r="U86" s="59">
        <f t="shared" si="21"/>
        <v>0</v>
      </c>
      <c r="V86" s="59">
        <f t="shared" si="21"/>
        <v>0</v>
      </c>
      <c r="W86" s="59">
        <f t="shared" si="21"/>
        <v>0</v>
      </c>
      <c r="X86" s="59">
        <f t="shared" si="21"/>
        <v>0</v>
      </c>
      <c r="Y86" s="59">
        <f t="shared" si="21"/>
        <v>0</v>
      </c>
      <c r="Z86" s="59">
        <f t="shared" si="21"/>
        <v>0</v>
      </c>
      <c r="AA86" s="59">
        <f t="shared" si="21"/>
        <v>0</v>
      </c>
      <c r="AB86" s="59">
        <f t="shared" si="21"/>
        <v>0</v>
      </c>
      <c r="AC86" s="59">
        <f t="shared" si="21"/>
        <v>0</v>
      </c>
      <c r="AD86" s="59">
        <f t="shared" si="21"/>
        <v>0</v>
      </c>
      <c r="AE86" s="59">
        <f t="shared" si="21"/>
        <v>0</v>
      </c>
      <c r="AF86" s="59">
        <f t="shared" si="21"/>
        <v>0</v>
      </c>
      <c r="AG86" s="59">
        <f t="shared" si="21"/>
        <v>0</v>
      </c>
      <c r="AH86" s="59">
        <f t="shared" si="21"/>
        <v>0</v>
      </c>
      <c r="AI86" s="59">
        <f t="shared" si="21"/>
        <v>0</v>
      </c>
      <c r="AJ86" s="59">
        <f t="shared" si="21"/>
        <v>1243.58</v>
      </c>
      <c r="AK86" s="41">
        <f t="shared" si="20"/>
        <v>-36295.39199999999</v>
      </c>
      <c r="AL86" s="5"/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1:49" s="8" customFormat="1" ht="15.75">
      <c r="A87" s="5"/>
      <c r="B87" s="44" t="s">
        <v>20</v>
      </c>
      <c r="C87" s="45">
        <f>C20+C37+C42+C46+C50+C53+C57+C24</f>
        <v>17077.290999999997</v>
      </c>
      <c r="D87" s="45">
        <f aca="true" t="shared" si="22" ref="D87:AG87">D20+D37+D42+D46+D50+D53+D57+D24</f>
        <v>0</v>
      </c>
      <c r="E87" s="45">
        <f t="shared" si="22"/>
        <v>0</v>
      </c>
      <c r="F87" s="45">
        <f t="shared" si="22"/>
        <v>0</v>
      </c>
      <c r="G87" s="45">
        <f t="shared" si="22"/>
        <v>0</v>
      </c>
      <c r="H87" s="45">
        <f t="shared" si="22"/>
        <v>0</v>
      </c>
      <c r="I87" s="45">
        <f t="shared" si="22"/>
        <v>0</v>
      </c>
      <c r="J87" s="45">
        <f t="shared" si="22"/>
        <v>0</v>
      </c>
      <c r="K87" s="45">
        <f t="shared" si="22"/>
        <v>0</v>
      </c>
      <c r="L87" s="45">
        <f t="shared" si="22"/>
        <v>0</v>
      </c>
      <c r="M87" s="45">
        <f t="shared" si="22"/>
        <v>0</v>
      </c>
      <c r="N87" s="45">
        <f t="shared" si="22"/>
        <v>0</v>
      </c>
      <c r="O87" s="45">
        <f t="shared" si="22"/>
        <v>0</v>
      </c>
      <c r="P87" s="45">
        <f t="shared" si="22"/>
        <v>0</v>
      </c>
      <c r="Q87" s="45">
        <f t="shared" si="22"/>
        <v>0</v>
      </c>
      <c r="R87" s="45">
        <f t="shared" si="22"/>
        <v>0</v>
      </c>
      <c r="S87" s="45">
        <f t="shared" si="22"/>
        <v>0</v>
      </c>
      <c r="T87" s="45">
        <f t="shared" si="22"/>
        <v>0</v>
      </c>
      <c r="U87" s="45">
        <f t="shared" si="22"/>
        <v>0</v>
      </c>
      <c r="V87" s="45">
        <f t="shared" si="22"/>
        <v>0</v>
      </c>
      <c r="W87" s="45">
        <f t="shared" si="22"/>
        <v>0</v>
      </c>
      <c r="X87" s="45">
        <f t="shared" si="22"/>
        <v>0</v>
      </c>
      <c r="Y87" s="45">
        <f t="shared" si="22"/>
        <v>0</v>
      </c>
      <c r="Z87" s="45">
        <f t="shared" si="22"/>
        <v>0</v>
      </c>
      <c r="AA87" s="45">
        <f t="shared" si="22"/>
        <v>0</v>
      </c>
      <c r="AB87" s="45">
        <f t="shared" si="22"/>
        <v>0</v>
      </c>
      <c r="AC87" s="45">
        <f t="shared" si="22"/>
        <v>0</v>
      </c>
      <c r="AD87" s="45">
        <f t="shared" si="22"/>
        <v>0</v>
      </c>
      <c r="AE87" s="45">
        <f t="shared" si="22"/>
        <v>0</v>
      </c>
      <c r="AF87" s="45">
        <f t="shared" si="22"/>
        <v>0</v>
      </c>
      <c r="AG87" s="45">
        <f t="shared" si="22"/>
        <v>0</v>
      </c>
      <c r="AH87" s="45">
        <f>AH20+AH37+AH42+AH46+AH50+AH53+AH57+AH24</f>
        <v>0</v>
      </c>
      <c r="AI87" s="45">
        <f>AI20+AI37+AI42+AI46+AI50+AI53+AI57+AI24</f>
        <v>0</v>
      </c>
      <c r="AJ87" s="45">
        <f>AJ20+AJ37+AJ42+AJ46+AJ50+AJ53+AJ57+AJ24</f>
        <v>0</v>
      </c>
      <c r="AK87" s="41">
        <f t="shared" si="20"/>
        <v>-17077.290999999997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28</v>
      </c>
      <c r="C88" s="45">
        <f>C25+C38+C58</f>
        <v>16.335</v>
      </c>
      <c r="D88" s="45">
        <f aca="true" t="shared" si="23" ref="D88:AG88">D25+D38+D58</f>
        <v>0</v>
      </c>
      <c r="E88" s="45">
        <f t="shared" si="23"/>
        <v>0</v>
      </c>
      <c r="F88" s="45">
        <f t="shared" si="23"/>
        <v>0</v>
      </c>
      <c r="G88" s="45">
        <f t="shared" si="23"/>
        <v>0</v>
      </c>
      <c r="H88" s="45">
        <f t="shared" si="23"/>
        <v>0</v>
      </c>
      <c r="I88" s="45">
        <f t="shared" si="23"/>
        <v>0</v>
      </c>
      <c r="J88" s="45">
        <f t="shared" si="23"/>
        <v>0</v>
      </c>
      <c r="K88" s="45">
        <f t="shared" si="23"/>
        <v>0</v>
      </c>
      <c r="L88" s="45">
        <f t="shared" si="23"/>
        <v>0</v>
      </c>
      <c r="M88" s="45">
        <f t="shared" si="23"/>
        <v>0</v>
      </c>
      <c r="N88" s="45">
        <f t="shared" si="23"/>
        <v>0</v>
      </c>
      <c r="O88" s="45">
        <f t="shared" si="23"/>
        <v>0</v>
      </c>
      <c r="P88" s="45">
        <f t="shared" si="23"/>
        <v>0</v>
      </c>
      <c r="Q88" s="45">
        <f t="shared" si="23"/>
        <v>0</v>
      </c>
      <c r="R88" s="45">
        <f t="shared" si="23"/>
        <v>0</v>
      </c>
      <c r="S88" s="45">
        <f t="shared" si="23"/>
        <v>0</v>
      </c>
      <c r="T88" s="45">
        <f t="shared" si="23"/>
        <v>0</v>
      </c>
      <c r="U88" s="45">
        <f t="shared" si="23"/>
        <v>0</v>
      </c>
      <c r="V88" s="45">
        <f t="shared" si="23"/>
        <v>0</v>
      </c>
      <c r="W88" s="45">
        <f t="shared" si="23"/>
        <v>0</v>
      </c>
      <c r="X88" s="45">
        <f t="shared" si="23"/>
        <v>0</v>
      </c>
      <c r="Y88" s="45">
        <f t="shared" si="23"/>
        <v>0</v>
      </c>
      <c r="Z88" s="45">
        <f t="shared" si="23"/>
        <v>0</v>
      </c>
      <c r="AA88" s="45">
        <f t="shared" si="23"/>
        <v>0</v>
      </c>
      <c r="AB88" s="45">
        <f t="shared" si="23"/>
        <v>0</v>
      </c>
      <c r="AC88" s="45">
        <f t="shared" si="23"/>
        <v>0</v>
      </c>
      <c r="AD88" s="45">
        <f t="shared" si="23"/>
        <v>0</v>
      </c>
      <c r="AE88" s="45">
        <f t="shared" si="23"/>
        <v>0</v>
      </c>
      <c r="AF88" s="45">
        <f t="shared" si="23"/>
        <v>0</v>
      </c>
      <c r="AG88" s="45">
        <f t="shared" si="23"/>
        <v>0</v>
      </c>
      <c r="AH88" s="45">
        <f>AH25+AH38+AH58</f>
        <v>0</v>
      </c>
      <c r="AI88" s="45">
        <f>AI25+AI38+AI58</f>
        <v>0</v>
      </c>
      <c r="AJ88" s="45">
        <f>AJ25+AJ38+AJ58</f>
        <v>0</v>
      </c>
      <c r="AK88" s="41">
        <f t="shared" si="20"/>
        <v>-16.335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30</v>
      </c>
      <c r="C89" s="45">
        <f>C26</f>
        <v>1479.4</v>
      </c>
      <c r="D89" s="45">
        <f aca="true" t="shared" si="24" ref="D89:AG89">D26</f>
        <v>0</v>
      </c>
      <c r="E89" s="45">
        <f t="shared" si="24"/>
        <v>0</v>
      </c>
      <c r="F89" s="45">
        <f t="shared" si="24"/>
        <v>0</v>
      </c>
      <c r="G89" s="45">
        <f t="shared" si="24"/>
        <v>0</v>
      </c>
      <c r="H89" s="45">
        <f t="shared" si="24"/>
        <v>0</v>
      </c>
      <c r="I89" s="45">
        <f t="shared" si="24"/>
        <v>0</v>
      </c>
      <c r="J89" s="45">
        <f t="shared" si="24"/>
        <v>0</v>
      </c>
      <c r="K89" s="45">
        <f t="shared" si="24"/>
        <v>0</v>
      </c>
      <c r="L89" s="45">
        <f t="shared" si="24"/>
        <v>0</v>
      </c>
      <c r="M89" s="45">
        <f t="shared" si="24"/>
        <v>0</v>
      </c>
      <c r="N89" s="45">
        <f t="shared" si="24"/>
        <v>0</v>
      </c>
      <c r="O89" s="45">
        <f t="shared" si="24"/>
        <v>0</v>
      </c>
      <c r="P89" s="45">
        <f t="shared" si="24"/>
        <v>0</v>
      </c>
      <c r="Q89" s="45">
        <f t="shared" si="24"/>
        <v>0</v>
      </c>
      <c r="R89" s="45">
        <f t="shared" si="24"/>
        <v>0</v>
      </c>
      <c r="S89" s="45">
        <f t="shared" si="24"/>
        <v>0</v>
      </c>
      <c r="T89" s="45">
        <f t="shared" si="24"/>
        <v>0</v>
      </c>
      <c r="U89" s="45">
        <f t="shared" si="24"/>
        <v>0</v>
      </c>
      <c r="V89" s="45">
        <f t="shared" si="24"/>
        <v>0</v>
      </c>
      <c r="W89" s="45">
        <f t="shared" si="24"/>
        <v>0</v>
      </c>
      <c r="X89" s="45">
        <f t="shared" si="24"/>
        <v>0</v>
      </c>
      <c r="Y89" s="45">
        <f t="shared" si="24"/>
        <v>0</v>
      </c>
      <c r="Z89" s="45">
        <f t="shared" si="24"/>
        <v>0</v>
      </c>
      <c r="AA89" s="45">
        <f t="shared" si="24"/>
        <v>0</v>
      </c>
      <c r="AB89" s="45">
        <f t="shared" si="24"/>
        <v>0</v>
      </c>
      <c r="AC89" s="45">
        <f t="shared" si="24"/>
        <v>0</v>
      </c>
      <c r="AD89" s="45">
        <f t="shared" si="24"/>
        <v>0</v>
      </c>
      <c r="AE89" s="45">
        <f t="shared" si="24"/>
        <v>0</v>
      </c>
      <c r="AF89" s="45">
        <f t="shared" si="24"/>
        <v>0</v>
      </c>
      <c r="AG89" s="45">
        <f t="shared" si="24"/>
        <v>0</v>
      </c>
      <c r="AH89" s="45">
        <f>AH26</f>
        <v>0</v>
      </c>
      <c r="AI89" s="45">
        <f>AI26</f>
        <v>0</v>
      </c>
      <c r="AJ89" s="45">
        <f>AJ26</f>
        <v>0</v>
      </c>
      <c r="AK89" s="41">
        <f t="shared" si="20"/>
        <v>-1479.4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22</v>
      </c>
      <c r="C90" s="45">
        <f>C21+C27+C39+C43+C47+C54+C59+C70</f>
        <v>5579.300999999999</v>
      </c>
      <c r="D90" s="45">
        <f aca="true" t="shared" si="25" ref="D90:AG90">D21+D27+D39+D43+D47+D54+D59+D70</f>
        <v>0</v>
      </c>
      <c r="E90" s="45">
        <f t="shared" si="25"/>
        <v>0</v>
      </c>
      <c r="F90" s="45">
        <f t="shared" si="25"/>
        <v>0</v>
      </c>
      <c r="G90" s="45">
        <f t="shared" si="25"/>
        <v>0</v>
      </c>
      <c r="H90" s="45">
        <f t="shared" si="25"/>
        <v>0</v>
      </c>
      <c r="I90" s="45">
        <f t="shared" si="25"/>
        <v>0</v>
      </c>
      <c r="J90" s="45">
        <f t="shared" si="25"/>
        <v>0</v>
      </c>
      <c r="K90" s="45">
        <f t="shared" si="25"/>
        <v>0</v>
      </c>
      <c r="L90" s="45">
        <f t="shared" si="25"/>
        <v>0</v>
      </c>
      <c r="M90" s="45">
        <f t="shared" si="25"/>
        <v>0</v>
      </c>
      <c r="N90" s="45">
        <f t="shared" si="25"/>
        <v>0</v>
      </c>
      <c r="O90" s="45">
        <f t="shared" si="25"/>
        <v>0</v>
      </c>
      <c r="P90" s="45">
        <f t="shared" si="25"/>
        <v>0</v>
      </c>
      <c r="Q90" s="45">
        <f t="shared" si="25"/>
        <v>0</v>
      </c>
      <c r="R90" s="45">
        <f t="shared" si="25"/>
        <v>0</v>
      </c>
      <c r="S90" s="45">
        <f t="shared" si="25"/>
        <v>0</v>
      </c>
      <c r="T90" s="45">
        <f t="shared" si="25"/>
        <v>0</v>
      </c>
      <c r="U90" s="45">
        <f t="shared" si="25"/>
        <v>0</v>
      </c>
      <c r="V90" s="45">
        <f t="shared" si="25"/>
        <v>0</v>
      </c>
      <c r="W90" s="45">
        <f t="shared" si="25"/>
        <v>0</v>
      </c>
      <c r="X90" s="45">
        <f t="shared" si="25"/>
        <v>0</v>
      </c>
      <c r="Y90" s="45">
        <f t="shared" si="25"/>
        <v>0</v>
      </c>
      <c r="Z90" s="45">
        <f t="shared" si="25"/>
        <v>0</v>
      </c>
      <c r="AA90" s="45">
        <f t="shared" si="25"/>
        <v>0</v>
      </c>
      <c r="AB90" s="45">
        <f t="shared" si="25"/>
        <v>0</v>
      </c>
      <c r="AC90" s="45">
        <f t="shared" si="25"/>
        <v>0</v>
      </c>
      <c r="AD90" s="45">
        <f t="shared" si="25"/>
        <v>0</v>
      </c>
      <c r="AE90" s="45">
        <f t="shared" si="25"/>
        <v>0</v>
      </c>
      <c r="AF90" s="45">
        <f t="shared" si="25"/>
        <v>0</v>
      </c>
      <c r="AG90" s="45">
        <f t="shared" si="25"/>
        <v>0</v>
      </c>
      <c r="AH90" s="45">
        <f>AH21+AH27+AH39+AH43+AH47+AH54+AH59+AH70</f>
        <v>0</v>
      </c>
      <c r="AI90" s="45">
        <f>AI21+AI27+AI39+AI43+AI47+AI54+AI59+AI70</f>
        <v>0</v>
      </c>
      <c r="AJ90" s="45">
        <f>AJ21+AJ27+AJ39+AJ43+AJ47+AJ54+AJ59+AJ70</f>
        <v>0</v>
      </c>
      <c r="AK90" s="41">
        <f t="shared" si="20"/>
        <v>-5579.300999999999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46</v>
      </c>
      <c r="C91" s="45">
        <f>C76</f>
        <v>133</v>
      </c>
      <c r="D91" s="45">
        <f aca="true" t="shared" si="26" ref="D91:AG91">D76</f>
        <v>0</v>
      </c>
      <c r="E91" s="45">
        <f t="shared" si="26"/>
        <v>0</v>
      </c>
      <c r="F91" s="45">
        <f t="shared" si="26"/>
        <v>0</v>
      </c>
      <c r="G91" s="45">
        <f t="shared" si="26"/>
        <v>0</v>
      </c>
      <c r="H91" s="45">
        <f t="shared" si="26"/>
        <v>0</v>
      </c>
      <c r="I91" s="45">
        <f t="shared" si="26"/>
        <v>0</v>
      </c>
      <c r="J91" s="45">
        <f t="shared" si="26"/>
        <v>0</v>
      </c>
      <c r="K91" s="45">
        <f t="shared" si="26"/>
        <v>0</v>
      </c>
      <c r="L91" s="45">
        <f t="shared" si="26"/>
        <v>0</v>
      </c>
      <c r="M91" s="45">
        <f t="shared" si="26"/>
        <v>0</v>
      </c>
      <c r="N91" s="45">
        <f t="shared" si="26"/>
        <v>0</v>
      </c>
      <c r="O91" s="45">
        <f t="shared" si="26"/>
        <v>0</v>
      </c>
      <c r="P91" s="45">
        <f t="shared" si="26"/>
        <v>0</v>
      </c>
      <c r="Q91" s="45">
        <f t="shared" si="26"/>
        <v>0</v>
      </c>
      <c r="R91" s="45">
        <f t="shared" si="26"/>
        <v>0</v>
      </c>
      <c r="S91" s="45">
        <f t="shared" si="26"/>
        <v>0</v>
      </c>
      <c r="T91" s="45">
        <f t="shared" si="26"/>
        <v>0</v>
      </c>
      <c r="U91" s="45">
        <f t="shared" si="26"/>
        <v>0</v>
      </c>
      <c r="V91" s="45">
        <f t="shared" si="26"/>
        <v>0</v>
      </c>
      <c r="W91" s="45">
        <f t="shared" si="26"/>
        <v>0</v>
      </c>
      <c r="X91" s="45">
        <f t="shared" si="26"/>
        <v>0</v>
      </c>
      <c r="Y91" s="45">
        <f t="shared" si="26"/>
        <v>0</v>
      </c>
      <c r="Z91" s="45">
        <f t="shared" si="26"/>
        <v>0</v>
      </c>
      <c r="AA91" s="45">
        <f t="shared" si="26"/>
        <v>0</v>
      </c>
      <c r="AB91" s="45">
        <f t="shared" si="26"/>
        <v>0</v>
      </c>
      <c r="AC91" s="45">
        <f t="shared" si="26"/>
        <v>0</v>
      </c>
      <c r="AD91" s="45">
        <f t="shared" si="26"/>
        <v>0</v>
      </c>
      <c r="AE91" s="45">
        <f t="shared" si="26"/>
        <v>0</v>
      </c>
      <c r="AF91" s="45">
        <f t="shared" si="26"/>
        <v>0</v>
      </c>
      <c r="AG91" s="45">
        <f t="shared" si="26"/>
        <v>0</v>
      </c>
      <c r="AH91" s="45">
        <f>AH76</f>
        <v>0</v>
      </c>
      <c r="AI91" s="45">
        <f>AI76</f>
        <v>0</v>
      </c>
      <c r="AJ91" s="45">
        <f>AJ76</f>
        <v>0</v>
      </c>
      <c r="AK91" s="41">
        <f t="shared" si="20"/>
        <v>-133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34</v>
      </c>
      <c r="C92" s="45">
        <f>C30+C51+C60+C68+C31+C71+C81+C82+C84+C63+C78+C65+C83</f>
        <v>5467.137</v>
      </c>
      <c r="D92" s="45">
        <f aca="true" t="shared" si="27" ref="D92:AJ92">D30+D51+D60+D68+D31+D71+D81+D82+D84+D63+D78+D65+D83</f>
        <v>0</v>
      </c>
      <c r="E92" s="45">
        <f t="shared" si="27"/>
        <v>0</v>
      </c>
      <c r="F92" s="45">
        <f t="shared" si="27"/>
        <v>0</v>
      </c>
      <c r="G92" s="45">
        <f t="shared" si="27"/>
        <v>0</v>
      </c>
      <c r="H92" s="45">
        <f t="shared" si="27"/>
        <v>0</v>
      </c>
      <c r="I92" s="45">
        <f t="shared" si="27"/>
        <v>0</v>
      </c>
      <c r="J92" s="45">
        <f t="shared" si="27"/>
        <v>0</v>
      </c>
      <c r="K92" s="45">
        <f t="shared" si="27"/>
        <v>0</v>
      </c>
      <c r="L92" s="45">
        <f t="shared" si="27"/>
        <v>0</v>
      </c>
      <c r="M92" s="45">
        <f t="shared" si="27"/>
        <v>0</v>
      </c>
      <c r="N92" s="45">
        <f t="shared" si="27"/>
        <v>0</v>
      </c>
      <c r="O92" s="45">
        <f t="shared" si="27"/>
        <v>0</v>
      </c>
      <c r="P92" s="45">
        <f t="shared" si="27"/>
        <v>0</v>
      </c>
      <c r="Q92" s="45">
        <f t="shared" si="27"/>
        <v>0</v>
      </c>
      <c r="R92" s="45">
        <f t="shared" si="27"/>
        <v>0</v>
      </c>
      <c r="S92" s="45">
        <f t="shared" si="27"/>
        <v>0</v>
      </c>
      <c r="T92" s="45">
        <f t="shared" si="27"/>
        <v>0</v>
      </c>
      <c r="U92" s="45">
        <f t="shared" si="27"/>
        <v>0</v>
      </c>
      <c r="V92" s="45">
        <f t="shared" si="27"/>
        <v>0</v>
      </c>
      <c r="W92" s="45">
        <f t="shared" si="27"/>
        <v>0</v>
      </c>
      <c r="X92" s="45">
        <f t="shared" si="27"/>
        <v>0</v>
      </c>
      <c r="Y92" s="45">
        <f t="shared" si="27"/>
        <v>0</v>
      </c>
      <c r="Z92" s="45">
        <f t="shared" si="27"/>
        <v>0</v>
      </c>
      <c r="AA92" s="45">
        <f t="shared" si="27"/>
        <v>0</v>
      </c>
      <c r="AB92" s="45">
        <f t="shared" si="27"/>
        <v>0</v>
      </c>
      <c r="AC92" s="45">
        <f t="shared" si="27"/>
        <v>0</v>
      </c>
      <c r="AD92" s="45">
        <f t="shared" si="27"/>
        <v>0</v>
      </c>
      <c r="AE92" s="45">
        <f t="shared" si="27"/>
        <v>0</v>
      </c>
      <c r="AF92" s="45">
        <f t="shared" si="27"/>
        <v>0</v>
      </c>
      <c r="AG92" s="45">
        <f t="shared" si="27"/>
        <v>0</v>
      </c>
      <c r="AH92" s="45">
        <f t="shared" si="27"/>
        <v>0</v>
      </c>
      <c r="AI92" s="45">
        <f t="shared" si="27"/>
        <v>0</v>
      </c>
      <c r="AJ92" s="45">
        <f t="shared" si="27"/>
        <v>0</v>
      </c>
      <c r="AK92" s="41">
        <f t="shared" si="20"/>
        <v>-5467.137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24</v>
      </c>
      <c r="C93" s="45">
        <f>C22+C28+C32+C33+C34+C40+C44+C48+C55+C61+C74+C79+C80+C85+C67+C77+C75+C35+C72</f>
        <v>7786.508000000001</v>
      </c>
      <c r="D93" s="45">
        <f aca="true" t="shared" si="28" ref="D93:AG93">D22+D28+D32+D33+D34+D40+D44+D48+D55+D61+D74+D79+D80+D85+D67+D77+D75+D35+D72</f>
        <v>1243.58</v>
      </c>
      <c r="E93" s="45">
        <f t="shared" si="28"/>
        <v>0</v>
      </c>
      <c r="F93" s="45">
        <f t="shared" si="28"/>
        <v>0</v>
      </c>
      <c r="G93" s="45">
        <f t="shared" si="28"/>
        <v>0</v>
      </c>
      <c r="H93" s="45">
        <f t="shared" si="28"/>
        <v>0</v>
      </c>
      <c r="I93" s="45">
        <f t="shared" si="28"/>
        <v>0</v>
      </c>
      <c r="J93" s="45">
        <f t="shared" si="28"/>
        <v>0</v>
      </c>
      <c r="K93" s="45">
        <f t="shared" si="28"/>
        <v>0</v>
      </c>
      <c r="L93" s="45">
        <f t="shared" si="28"/>
        <v>0</v>
      </c>
      <c r="M93" s="45">
        <f t="shared" si="28"/>
        <v>0</v>
      </c>
      <c r="N93" s="45">
        <f t="shared" si="28"/>
        <v>0</v>
      </c>
      <c r="O93" s="45">
        <f t="shared" si="28"/>
        <v>0</v>
      </c>
      <c r="P93" s="45">
        <f t="shared" si="28"/>
        <v>0</v>
      </c>
      <c r="Q93" s="45">
        <f t="shared" si="28"/>
        <v>0</v>
      </c>
      <c r="R93" s="45">
        <f t="shared" si="28"/>
        <v>0</v>
      </c>
      <c r="S93" s="45">
        <f t="shared" si="28"/>
        <v>0</v>
      </c>
      <c r="T93" s="45">
        <f t="shared" si="28"/>
        <v>0</v>
      </c>
      <c r="U93" s="45">
        <f t="shared" si="28"/>
        <v>0</v>
      </c>
      <c r="V93" s="45">
        <f t="shared" si="28"/>
        <v>0</v>
      </c>
      <c r="W93" s="45">
        <f t="shared" si="28"/>
        <v>0</v>
      </c>
      <c r="X93" s="45">
        <f t="shared" si="28"/>
        <v>0</v>
      </c>
      <c r="Y93" s="45">
        <f t="shared" si="28"/>
        <v>0</v>
      </c>
      <c r="Z93" s="45">
        <f t="shared" si="28"/>
        <v>0</v>
      </c>
      <c r="AA93" s="45">
        <f t="shared" si="28"/>
        <v>0</v>
      </c>
      <c r="AB93" s="45">
        <f t="shared" si="28"/>
        <v>0</v>
      </c>
      <c r="AC93" s="45">
        <f t="shared" si="28"/>
        <v>0</v>
      </c>
      <c r="AD93" s="45">
        <f t="shared" si="28"/>
        <v>0</v>
      </c>
      <c r="AE93" s="45">
        <f t="shared" si="28"/>
        <v>0</v>
      </c>
      <c r="AF93" s="45">
        <f t="shared" si="28"/>
        <v>0</v>
      </c>
      <c r="AG93" s="45">
        <f t="shared" si="28"/>
        <v>0</v>
      </c>
      <c r="AH93" s="45">
        <f>AH22+AH28+AH32+AH33+AH34+AH40+AH44+AH48+AH55+AH61+AH74+AH79+AH80+AH85+AH67+AH77+AH75+AH35+AH72</f>
        <v>0</v>
      </c>
      <c r="AI93" s="45">
        <f>AI22+AI28+AI32+AI33+AI34+AI40+AI44+AI48+AI55+AI61+AI74+AI79+AI80+AI85+AI67+AI77+AI75+AI35+AI72</f>
        <v>0</v>
      </c>
      <c r="AJ93" s="45">
        <f>AJ22+AJ28+AJ32+AJ33+AJ34+AJ40+AJ44+AJ48+AJ55+AJ61+AJ74+AJ79+AJ80+AJ85+AJ67+AJ77+AJ75+AJ35+AJ72</f>
        <v>1243.58</v>
      </c>
      <c r="AK93" s="41">
        <f t="shared" si="20"/>
        <v>-6542.928000000001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/>
      <c r="C94" s="60"/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 t="s">
        <v>71</v>
      </c>
      <c r="C95" s="62">
        <f aca="true" t="shared" si="29" ref="C95:AJ95">C18-C86</f>
        <v>0</v>
      </c>
      <c r="D95" s="62"/>
      <c r="E95" s="62">
        <f t="shared" si="29"/>
        <v>0</v>
      </c>
      <c r="F95" s="62">
        <f t="shared" si="29"/>
        <v>0</v>
      </c>
      <c r="G95" s="62">
        <f t="shared" si="29"/>
        <v>0</v>
      </c>
      <c r="H95" s="62">
        <f t="shared" si="29"/>
        <v>0</v>
      </c>
      <c r="I95" s="62">
        <f t="shared" si="29"/>
        <v>0</v>
      </c>
      <c r="J95" s="62"/>
      <c r="K95" s="62"/>
      <c r="L95" s="62"/>
      <c r="M95" s="62">
        <f t="shared" si="29"/>
        <v>0</v>
      </c>
      <c r="N95" s="62">
        <f t="shared" si="29"/>
        <v>0</v>
      </c>
      <c r="O95" s="62">
        <f t="shared" si="29"/>
        <v>0</v>
      </c>
      <c r="P95" s="62">
        <f t="shared" si="29"/>
        <v>0</v>
      </c>
      <c r="Q95" s="62"/>
      <c r="R95" s="62"/>
      <c r="S95" s="62">
        <f t="shared" si="29"/>
        <v>0</v>
      </c>
      <c r="T95" s="62">
        <f t="shared" si="29"/>
        <v>0</v>
      </c>
      <c r="U95" s="62">
        <f t="shared" si="29"/>
        <v>0</v>
      </c>
      <c r="V95" s="62">
        <f t="shared" si="29"/>
        <v>0</v>
      </c>
      <c r="W95" s="62">
        <f t="shared" si="29"/>
        <v>0</v>
      </c>
      <c r="X95" s="62"/>
      <c r="Y95" s="62"/>
      <c r="Z95" s="62">
        <f t="shared" si="29"/>
        <v>0</v>
      </c>
      <c r="AA95" s="62">
        <f t="shared" si="29"/>
        <v>0</v>
      </c>
      <c r="AB95" s="62">
        <f t="shared" si="29"/>
        <v>0</v>
      </c>
      <c r="AC95" s="62">
        <f t="shared" si="29"/>
        <v>0</v>
      </c>
      <c r="AD95" s="62">
        <f t="shared" si="29"/>
        <v>0</v>
      </c>
      <c r="AE95" s="62"/>
      <c r="AF95" s="62"/>
      <c r="AG95" s="62">
        <f t="shared" si="29"/>
        <v>0</v>
      </c>
      <c r="AH95" s="62">
        <f t="shared" si="29"/>
        <v>0</v>
      </c>
      <c r="AI95" s="62">
        <f t="shared" si="29"/>
        <v>0</v>
      </c>
      <c r="AJ95" s="62">
        <f t="shared" si="29"/>
        <v>0</v>
      </c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9" spans="1:49" s="8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7"/>
      <c r="AL99" s="64"/>
      <c r="AP99" s="9"/>
      <c r="AQ99" s="9"/>
      <c r="AR99" s="9"/>
      <c r="AS99" s="9"/>
      <c r="AT99" s="9"/>
      <c r="AU99" s="9"/>
      <c r="AV99" s="9"/>
      <c r="AW99" s="9"/>
    </row>
    <row r="178" ht="15.75">
      <c r="B178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5" max="255" man="1"/>
  </rowBreaks>
  <colBreaks count="1" manualBreakCount="1"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ТАРАН</cp:lastModifiedBy>
  <cp:lastPrinted>2020-03-10T14:46:54Z</cp:lastPrinted>
  <dcterms:created xsi:type="dcterms:W3CDTF">2019-11-27T07:51:11Z</dcterms:created>
  <dcterms:modified xsi:type="dcterms:W3CDTF">2020-04-02T13:23:04Z</dcterms:modified>
  <cp:category/>
  <cp:version/>
  <cp:contentType/>
  <cp:contentStatus/>
</cp:coreProperties>
</file>