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7032" tabRatio="1000" firstSheet="10" activeTab="10"/>
  </bookViews>
  <sheets>
    <sheet name="січень 19" sheetId="1" r:id="rId1"/>
    <sheet name="лютий 19" sheetId="2" r:id="rId2"/>
    <sheet name="березень 19" sheetId="3" r:id="rId3"/>
    <sheet name="квітень 19" sheetId="4" r:id="rId4"/>
    <sheet name="травень 19" sheetId="5" r:id="rId5"/>
    <sheet name="червень 19" sheetId="6" r:id="rId6"/>
    <sheet name="липень 19" sheetId="7" r:id="rId7"/>
    <sheet name="серпень 19" sheetId="8" r:id="rId8"/>
    <sheet name="вересень 19" sheetId="9" r:id="rId9"/>
    <sheet name="жовтень 19" sheetId="10" r:id="rId10"/>
    <sheet name="листопад 19" sheetId="11" r:id="rId11"/>
    <sheet name="грудень 19" sheetId="12" r:id="rId12"/>
  </sheets>
  <externalReferences>
    <externalReference r:id="rId15"/>
  </externalReferences>
  <definedNames>
    <definedName name="_xlnm.Print_Area" localSheetId="8">'вересень 19'!$B$1:$AG$174</definedName>
    <definedName name="_xlnm.Print_Area" localSheetId="9">'жовтень 19'!$B$1:$AG$174</definedName>
    <definedName name="_xlnm.Print_Area" localSheetId="3">'квітень 19'!$B$1:$AN$173</definedName>
    <definedName name="_xlnm.Print_Area" localSheetId="7">'серпень 19'!$B$1:$AG$174</definedName>
    <definedName name="_xlnm.Print_Area" localSheetId="4">'травень 19'!$B$1:$AG$173</definedName>
    <definedName name="_xlnm.Print_Area" localSheetId="5">'червень 19'!$B$1:$AG$173</definedName>
  </definedNames>
  <calcPr fullCalcOnLoad="1"/>
</workbook>
</file>

<file path=xl/sharedStrings.xml><?xml version="1.0" encoding="utf-8"?>
<sst xmlns="http://schemas.openxmlformats.org/spreadsheetml/2006/main" count="1232" uniqueCount="80">
  <si>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</si>
  <si>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</si>
  <si>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</si>
  <si>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</si>
  <si>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</si>
  <si>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</si>
  <si>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</si>
  <si>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</si>
  <si>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</si>
  <si>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</si>
  <si>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</si>
  <si>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</si>
  <si>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</si>
  <si>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</si>
  <si>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</si>
  <si>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</si>
  <si>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</si>
  <si>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</si>
  <si>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</si>
  <si>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</si>
  <si>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</si>
  <si>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</si>
  <si>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</si>
  <si>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</si>
  <si>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</si>
  <si>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</si>
  <si>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Освіта (1000) в т. числі: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</si>
  <si>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</si>
  <si>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</si>
  <si>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</si>
  <si>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</si>
  <si>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</si>
  <si>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</si>
  <si>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</si>
  <si>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</si>
  <si>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</si>
  <si>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</si>
  <si>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</si>
  <si>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</si>
  <si>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</si>
  <si>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</si>
  <si>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</si>
  <si>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</si>
  <si>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</si>
  <si>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</si>
  <si>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</si>
  <si>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</si>
  <si>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</si>
  <si>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</si>
  <si>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</si>
  <si>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</si>
  <si>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</si>
  <si>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</si>
  <si>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</si>
  <si>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</si>
  <si>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</si>
  <si>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</si>
  <si>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</si>
  <si>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</si>
  <si>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</si>
  <si>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</si>
  <si>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</si>
  <si>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</si>
  <si>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</si>
  <si>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</si>
  <si>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Рядок 19 - 79</t>
  </si>
  <si>
    <t>Структура доходів бюджету міста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</si>
  <si>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листопаді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</si>
  <si>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</si>
  <si>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Соціальний захист (3031, 3122, 3140, 3160, 3242)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</si>
  <si>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</si>
  <si>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</si>
  <si>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</si>
  <si>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</si>
  <si>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червні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</si>
  <si>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липні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</si>
  <si>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серпні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</si>
  <si>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вересні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</si>
  <si>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жовтні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</si>
  <si>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грудні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</si>
</sst>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25"/>
      <color indexed="8"/>
      <name val="Calibri"/>
      <family val="0"/>
    </font>
    <font>
      <b/>
      <sz val="7.8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36"/>
      <color indexed="8"/>
      <name val="Calibri"/>
      <family val="0"/>
    </font>
    <font>
      <b/>
      <sz val="7.15"/>
      <color indexed="8"/>
      <name val="Calibri"/>
      <family val="0"/>
    </font>
    <font>
      <b/>
      <sz val="24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50" fillId="25" borderId="0" applyNumberFormat="0" applyBorder="0" applyAlignment="0" applyProtection="0"/>
    <xf numFmtId="0" fontId="16" fillId="16" borderId="0" applyNumberFormat="0" applyBorder="0" applyAlignment="0" applyProtection="0"/>
    <xf numFmtId="0" fontId="50" fillId="26" borderId="0" applyNumberFormat="0" applyBorder="0" applyAlignment="0" applyProtection="0"/>
    <xf numFmtId="0" fontId="16" fillId="18" borderId="0" applyNumberFormat="0" applyBorder="0" applyAlignment="0" applyProtection="0"/>
    <xf numFmtId="0" fontId="50" fillId="27" borderId="0" applyNumberFormat="0" applyBorder="0" applyAlignment="0" applyProtection="0"/>
    <xf numFmtId="0" fontId="16" fillId="28" borderId="0" applyNumberFormat="0" applyBorder="0" applyAlignment="0" applyProtection="0"/>
    <xf numFmtId="0" fontId="50" fillId="29" borderId="0" applyNumberFormat="0" applyBorder="0" applyAlignment="0" applyProtection="0"/>
    <xf numFmtId="0" fontId="16" fillId="30" borderId="0" applyNumberFormat="0" applyBorder="0" applyAlignment="0" applyProtection="0"/>
    <xf numFmtId="0" fontId="50" fillId="31" borderId="0" applyNumberFormat="0" applyBorder="0" applyAlignment="0" applyProtection="0"/>
    <xf numFmtId="0" fontId="16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40" borderId="1" applyNumberFormat="0" applyAlignment="0" applyProtection="0"/>
    <xf numFmtId="0" fontId="52" fillId="41" borderId="2" applyNumberFormat="0" applyAlignment="0" applyProtection="0"/>
    <xf numFmtId="0" fontId="53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42" borderId="7" applyNumberFormat="0" applyAlignment="0" applyProtection="0"/>
    <xf numFmtId="0" fontId="59" fillId="0" borderId="0" applyNumberFormat="0" applyFill="0" applyBorder="0" applyAlignment="0" applyProtection="0"/>
    <xf numFmtId="0" fontId="60" fillId="43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65" fillId="46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64" fontId="12" fillId="48" borderId="10" xfId="0" applyNumberFormat="1" applyFont="1" applyFill="1" applyBorder="1" applyAlignment="1">
      <alignment horizontal="center" vertical="center" wrapText="1"/>
    </xf>
    <xf numFmtId="164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2" applyFont="1" applyFill="1" applyBorder="1" applyAlignment="1">
      <alignment horizontal="left" vertical="top" wrapText="1" indent="1"/>
      <protection/>
    </xf>
    <xf numFmtId="164" fontId="12" fillId="47" borderId="10" xfId="0" applyNumberFormat="1" applyFont="1" applyFill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 wrapText="1"/>
    </xf>
    <xf numFmtId="164" fontId="15" fillId="47" borderId="10" xfId="0" applyNumberFormat="1" applyFont="1" applyFill="1" applyBorder="1" applyAlignment="1">
      <alignment horizontal="center" vertical="center"/>
    </xf>
    <xf numFmtId="164" fontId="8" fillId="47" borderId="0" xfId="0" applyNumberFormat="1" applyFont="1" applyFill="1" applyBorder="1" applyAlignment="1">
      <alignment horizontal="center" vertical="center"/>
    </xf>
    <xf numFmtId="164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64" fontId="2" fillId="47" borderId="10" xfId="0" applyNumberFormat="1" applyFont="1" applyFill="1" applyBorder="1" applyAlignment="1">
      <alignment horizontal="center" vertical="center"/>
    </xf>
    <xf numFmtId="164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64" fontId="2" fillId="49" borderId="10" xfId="0" applyNumberFormat="1" applyFont="1" applyFill="1" applyBorder="1" applyAlignment="1">
      <alignment horizontal="center" vertical="center" shrinkToFit="1"/>
    </xf>
    <xf numFmtId="164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64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64" fontId="2" fillId="0" borderId="10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64" fontId="10" fillId="0" borderId="0" xfId="0" applyNumberFormat="1" applyFont="1" applyAlignment="1">
      <alignment/>
    </xf>
    <xf numFmtId="164" fontId="8" fillId="5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64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64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Alignment="1">
      <alignment/>
    </xf>
    <xf numFmtId="0" fontId="5" fillId="0" borderId="0" xfId="71" applyFont="1">
      <alignment/>
      <protection/>
    </xf>
    <xf numFmtId="0" fontId="2" fillId="0" borderId="0" xfId="71" applyFont="1">
      <alignment/>
      <protection/>
    </xf>
    <xf numFmtId="0" fontId="6" fillId="0" borderId="0" xfId="71" applyFont="1">
      <alignment/>
      <protection/>
    </xf>
    <xf numFmtId="0" fontId="7" fillId="0" borderId="0" xfId="71" applyFont="1">
      <alignment/>
      <protection/>
    </xf>
    <xf numFmtId="0" fontId="8" fillId="0" borderId="0" xfId="71" applyFont="1">
      <alignment/>
      <protection/>
    </xf>
    <xf numFmtId="0" fontId="2" fillId="0" borderId="0" xfId="71" applyFont="1" applyAlignment="1">
      <alignment horizontal="right"/>
      <protection/>
    </xf>
    <xf numFmtId="0" fontId="9" fillId="0" borderId="0" xfId="71" applyFont="1">
      <alignment/>
      <protection/>
    </xf>
    <xf numFmtId="0" fontId="10" fillId="0" borderId="0" xfId="71" applyFont="1">
      <alignment/>
      <protection/>
    </xf>
    <xf numFmtId="0" fontId="11" fillId="0" borderId="0" xfId="71" applyFont="1">
      <alignment/>
      <protection/>
    </xf>
    <xf numFmtId="0" fontId="2" fillId="0" borderId="10" xfId="71" applyFont="1" applyBorder="1" applyAlignment="1">
      <alignment horizontal="center" vertical="center"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Border="1" applyAlignment="1">
      <alignment horizontal="center" vertical="center" wrapText="1"/>
      <protection/>
    </xf>
    <xf numFmtId="0" fontId="2" fillId="47" borderId="10" xfId="71" applyFont="1" applyFill="1" applyBorder="1" applyAlignment="1">
      <alignment horizontal="center" vertical="center"/>
      <protection/>
    </xf>
    <xf numFmtId="0" fontId="8" fillId="0" borderId="10" xfId="71" applyFont="1" applyBorder="1" applyAlignment="1">
      <alignment horizontal="left" vertical="center" wrapText="1"/>
      <protection/>
    </xf>
    <xf numFmtId="164" fontId="2" fillId="0" borderId="10" xfId="71" applyNumberFormat="1" applyFont="1" applyFill="1" applyBorder="1" applyAlignment="1">
      <alignment horizontal="center" vertical="center" wrapText="1"/>
      <protection/>
    </xf>
    <xf numFmtId="0" fontId="8" fillId="0" borderId="10" xfId="71" applyFont="1" applyBorder="1" applyAlignment="1">
      <alignment horizontal="center" vertical="center" wrapText="1"/>
      <protection/>
    </xf>
    <xf numFmtId="164" fontId="8" fillId="0" borderId="10" xfId="71" applyNumberFormat="1" applyFont="1" applyBorder="1" applyAlignment="1">
      <alignment horizontal="center" vertical="center"/>
      <protection/>
    </xf>
    <xf numFmtId="0" fontId="8" fillId="0" borderId="10" xfId="71" applyFont="1" applyBorder="1" applyAlignment="1">
      <alignment horizontal="center" vertical="center"/>
      <protection/>
    </xf>
    <xf numFmtId="0" fontId="8" fillId="47" borderId="10" xfId="71" applyFont="1" applyFill="1" applyBorder="1" applyAlignment="1">
      <alignment horizontal="center" vertical="center"/>
      <protection/>
    </xf>
    <xf numFmtId="0" fontId="8" fillId="0" borderId="10" xfId="71" applyFont="1" applyBorder="1" applyAlignment="1">
      <alignment horizontal="left" vertical="center"/>
      <protection/>
    </xf>
    <xf numFmtId="164" fontId="8" fillId="0" borderId="10" xfId="71" applyNumberFormat="1" applyFont="1" applyBorder="1" applyAlignment="1">
      <alignment horizontal="center" vertical="center" wrapText="1"/>
      <protection/>
    </xf>
    <xf numFmtId="164" fontId="8" fillId="47" borderId="10" xfId="71" applyNumberFormat="1" applyFont="1" applyFill="1" applyBorder="1" applyAlignment="1">
      <alignment horizontal="center" vertical="center"/>
      <protection/>
    </xf>
    <xf numFmtId="0" fontId="8" fillId="48" borderId="10" xfId="71" applyFont="1" applyFill="1" applyBorder="1" applyAlignment="1">
      <alignment horizontal="center" vertical="center"/>
      <protection/>
    </xf>
    <xf numFmtId="164" fontId="12" fillId="48" borderId="10" xfId="71" applyNumberFormat="1" applyFont="1" applyFill="1" applyBorder="1" applyAlignment="1">
      <alignment horizontal="center" vertical="center" wrapText="1"/>
      <protection/>
    </xf>
    <xf numFmtId="164" fontId="8" fillId="48" borderId="10" xfId="71" applyNumberFormat="1" applyFont="1" applyFill="1" applyBorder="1" applyAlignment="1">
      <alignment horizontal="center" vertical="center" wrapText="1"/>
      <protection/>
    </xf>
    <xf numFmtId="164" fontId="12" fillId="47" borderId="10" xfId="71" applyNumberFormat="1" applyFont="1" applyFill="1" applyBorder="1" applyAlignment="1">
      <alignment horizontal="center" vertical="center" wrapText="1"/>
      <protection/>
    </xf>
    <xf numFmtId="164" fontId="8" fillId="47" borderId="10" xfId="71" applyNumberFormat="1" applyFont="1" applyFill="1" applyBorder="1" applyAlignment="1">
      <alignment horizontal="center" vertical="center" wrapText="1"/>
      <protection/>
    </xf>
    <xf numFmtId="164" fontId="15" fillId="47" borderId="10" xfId="71" applyNumberFormat="1" applyFont="1" applyFill="1" applyBorder="1" applyAlignment="1">
      <alignment horizontal="center" vertical="center"/>
      <protection/>
    </xf>
    <xf numFmtId="164" fontId="8" fillId="47" borderId="0" xfId="71" applyNumberFormat="1" applyFont="1" applyFill="1" applyBorder="1" applyAlignment="1">
      <alignment horizontal="center" vertical="center"/>
      <protection/>
    </xf>
    <xf numFmtId="0" fontId="8" fillId="47" borderId="0" xfId="71" applyFont="1" applyFill="1">
      <alignment/>
      <protection/>
    </xf>
    <xf numFmtId="164" fontId="10" fillId="47" borderId="0" xfId="71" applyNumberFormat="1" applyFont="1" applyFill="1">
      <alignment/>
      <protection/>
    </xf>
    <xf numFmtId="0" fontId="10" fillId="47" borderId="0" xfId="71" applyFont="1" applyFill="1">
      <alignment/>
      <protection/>
    </xf>
    <xf numFmtId="0" fontId="11" fillId="47" borderId="0" xfId="71" applyFont="1" applyFill="1">
      <alignment/>
      <protection/>
    </xf>
    <xf numFmtId="164" fontId="9" fillId="47" borderId="0" xfId="71" applyNumberFormat="1" applyFont="1" applyFill="1" applyBorder="1" applyAlignment="1">
      <alignment horizontal="center" vertical="center"/>
      <protection/>
    </xf>
    <xf numFmtId="0" fontId="2" fillId="6" borderId="10" xfId="71" applyFont="1" applyFill="1" applyBorder="1" applyAlignment="1">
      <alignment horizontal="center" wrapText="1"/>
      <protection/>
    </xf>
    <xf numFmtId="164" fontId="2" fillId="6" borderId="10" xfId="71" applyNumberFormat="1" applyFont="1" applyFill="1" applyBorder="1" applyAlignment="1">
      <alignment horizontal="center" vertical="center" wrapText="1"/>
      <protection/>
    </xf>
    <xf numFmtId="164" fontId="2" fillId="6" borderId="10" xfId="71" applyNumberFormat="1" applyFont="1" applyFill="1" applyBorder="1" applyAlignment="1">
      <alignment horizontal="center" vertical="center"/>
      <protection/>
    </xf>
    <xf numFmtId="0" fontId="2" fillId="49" borderId="10" xfId="71" applyFont="1" applyFill="1" applyBorder="1" applyAlignment="1">
      <alignment horizontal="center" wrapText="1"/>
      <protection/>
    </xf>
    <xf numFmtId="164" fontId="2" fillId="49" borderId="10" xfId="71" applyNumberFormat="1" applyFont="1" applyFill="1" applyBorder="1" applyAlignment="1">
      <alignment horizontal="center" vertical="center" shrinkToFit="1"/>
      <protection/>
    </xf>
    <xf numFmtId="164" fontId="5" fillId="0" borderId="0" xfId="71" applyNumberFormat="1" applyFont="1">
      <alignment/>
      <protection/>
    </xf>
    <xf numFmtId="0" fontId="2" fillId="50" borderId="10" xfId="71" applyFont="1" applyFill="1" applyBorder="1" applyAlignment="1">
      <alignment wrapText="1"/>
      <protection/>
    </xf>
    <xf numFmtId="164" fontId="2" fillId="50" borderId="10" xfId="71" applyNumberFormat="1" applyFont="1" applyFill="1" applyBorder="1" applyAlignment="1">
      <alignment horizontal="center" vertical="center"/>
      <protection/>
    </xf>
    <xf numFmtId="0" fontId="8" fillId="0" borderId="10" xfId="71" applyFont="1" applyBorder="1" applyAlignment="1">
      <alignment horizontal="left" wrapText="1" indent="1"/>
      <protection/>
    </xf>
    <xf numFmtId="164" fontId="2" fillId="0" borderId="10" xfId="71" applyNumberFormat="1" applyFont="1" applyFill="1" applyBorder="1" applyAlignment="1">
      <alignment horizontal="center" vertical="center"/>
      <protection/>
    </xf>
    <xf numFmtId="164" fontId="6" fillId="0" borderId="0" xfId="71" applyNumberFormat="1" applyFont="1">
      <alignment/>
      <protection/>
    </xf>
    <xf numFmtId="164" fontId="8" fillId="0" borderId="10" xfId="71" applyNumberFormat="1" applyFont="1" applyFill="1" applyBorder="1" applyAlignment="1">
      <alignment horizontal="center" vertical="center"/>
      <protection/>
    </xf>
    <xf numFmtId="164" fontId="10" fillId="0" borderId="0" xfId="71" applyNumberFormat="1" applyFont="1">
      <alignment/>
      <protection/>
    </xf>
    <xf numFmtId="0" fontId="8" fillId="47" borderId="10" xfId="71" applyFont="1" applyFill="1" applyBorder="1" applyAlignment="1">
      <alignment wrapText="1"/>
      <protection/>
    </xf>
    <xf numFmtId="164" fontId="2" fillId="47" borderId="10" xfId="71" applyNumberFormat="1" applyFont="1" applyFill="1" applyBorder="1" applyAlignment="1">
      <alignment horizontal="center" vertical="center"/>
      <protection/>
    </xf>
    <xf numFmtId="164" fontId="8" fillId="50" borderId="10" xfId="71" applyNumberFormat="1" applyFont="1" applyFill="1" applyBorder="1" applyAlignment="1">
      <alignment horizontal="center" vertical="center"/>
      <protection/>
    </xf>
    <xf numFmtId="0" fontId="2" fillId="47" borderId="0" xfId="71" applyFont="1" applyFill="1">
      <alignment/>
      <protection/>
    </xf>
    <xf numFmtId="0" fontId="6" fillId="47" borderId="0" xfId="71" applyFont="1" applyFill="1">
      <alignment/>
      <protection/>
    </xf>
    <xf numFmtId="0" fontId="7" fillId="47" borderId="0" xfId="71" applyFont="1" applyFill="1">
      <alignment/>
      <protection/>
    </xf>
    <xf numFmtId="0" fontId="8" fillId="47" borderId="10" xfId="71" applyFont="1" applyFill="1" applyBorder="1" applyAlignment="1">
      <alignment horizontal="left" wrapText="1" indent="1"/>
      <protection/>
    </xf>
    <xf numFmtId="0" fontId="2" fillId="50" borderId="10" xfId="71" applyFont="1" applyFill="1" applyBorder="1" applyAlignment="1">
      <alignment horizontal="left" vertical="center" wrapText="1"/>
      <protection/>
    </xf>
    <xf numFmtId="0" fontId="2" fillId="49" borderId="10" xfId="71" applyFont="1" applyFill="1" applyBorder="1">
      <alignment/>
      <protection/>
    </xf>
    <xf numFmtId="164" fontId="2" fillId="49" borderId="10" xfId="71" applyNumberFormat="1" applyFont="1" applyFill="1" applyBorder="1" applyAlignment="1">
      <alignment horizontal="center" vertical="center"/>
      <protection/>
    </xf>
    <xf numFmtId="0" fontId="8" fillId="0" borderId="0" xfId="71" applyFont="1" applyFill="1" applyAlignment="1">
      <alignment horizontal="center"/>
      <protection/>
    </xf>
    <xf numFmtId="0" fontId="8" fillId="0" borderId="0" xfId="71" applyFont="1" applyAlignment="1">
      <alignment horizontal="center"/>
      <protection/>
    </xf>
    <xf numFmtId="164" fontId="8" fillId="0" borderId="0" xfId="71" applyNumberFormat="1" applyFont="1" applyFill="1" applyAlignment="1">
      <alignment horizontal="center"/>
      <protection/>
    </xf>
    <xf numFmtId="164" fontId="8" fillId="0" borderId="0" xfId="71" applyNumberFormat="1" applyFont="1" applyAlignment="1">
      <alignment horizontal="center"/>
      <protection/>
    </xf>
    <xf numFmtId="0" fontId="8" fillId="0" borderId="0" xfId="71" applyFont="1" applyFill="1">
      <alignment/>
      <protection/>
    </xf>
    <xf numFmtId="164" fontId="8" fillId="0" borderId="0" xfId="71" applyNumberFormat="1" applyFont="1">
      <alignment/>
      <protection/>
    </xf>
    <xf numFmtId="164" fontId="11" fillId="47" borderId="0" xfId="71" applyNumberFormat="1" applyFont="1" applyFill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4" fontId="22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3" fillId="0" borderId="0" xfId="71" applyFont="1" applyAlignment="1">
      <alignment horizontal="center"/>
      <protection/>
    </xf>
    <xf numFmtId="0" fontId="3" fillId="0" borderId="0" xfId="0" applyFont="1" applyAlignment="1">
      <alignment horizontal="center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Гр. фін. за 21.11.2019" xfId="71"/>
    <cellStyle name="Обычный_ОБЛАСТІ 2002 РІЙОНИ 200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7525"/>
          <c:y val="0.133"/>
          <c:w val="0.2465"/>
          <c:h val="0.32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075"/>
          <c:y val="0.9025"/>
          <c:w val="0.843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5525"/>
          <c:y val="0.14075"/>
          <c:w val="0.22825"/>
          <c:h val="0.25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19'!$AD$20:$AD$27</c:f>
              <c:strCache/>
            </c:strRef>
          </c:cat>
          <c:val>
            <c:numRef>
              <c:f>'березень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75"/>
          <c:y val="0.57225"/>
          <c:w val="0.868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743"/>
          <c:w val="0.71925"/>
          <c:h val="0.1585"/>
        </c:manualLayout>
      </c:layout>
      <c:lineChart>
        <c:grouping val="standard"/>
        <c:varyColors val="0"/>
        <c:ser>
          <c:idx val="0"/>
          <c:order val="0"/>
          <c:tx>
            <c:strRef>
              <c:f>'березень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19'!$D$7:$X$7</c:f>
              <c:numCache/>
            </c:numRef>
          </c:val>
          <c:smooth val="0"/>
        </c:ser>
        <c:ser>
          <c:idx val="1"/>
          <c:order val="1"/>
          <c:tx>
            <c:strRef>
              <c:f>'березень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19'!$D$8:$X$8</c:f>
              <c:numCache/>
            </c:numRef>
          </c:val>
          <c:smooth val="0"/>
        </c:ser>
        <c:marker val="1"/>
        <c:axId val="31097969"/>
        <c:axId val="11446266"/>
      </c:lineChart>
      <c:catAx>
        <c:axId val="31097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46266"/>
        <c:crosses val="autoZero"/>
        <c:auto val="1"/>
        <c:lblOffset val="100"/>
        <c:tickLblSkip val="1"/>
        <c:noMultiLvlLbl val="0"/>
      </c:catAx>
      <c:valAx>
        <c:axId val="11446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097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425"/>
          <c:y val="0.9165"/>
          <c:w val="0.794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14"/>
          <c:y val="0.234"/>
          <c:w val="0.107"/>
          <c:h val="0.09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19'!$B$9:$B$16</c:f>
              <c:strCache/>
            </c:strRef>
          </c:cat>
          <c:val>
            <c:numRef>
              <c:f>'березень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25"/>
          <c:y val="0.00575"/>
          <c:w val="0.21975"/>
          <c:h val="0.8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68"/>
          <c:y val="0.15075"/>
          <c:w val="0.27775"/>
          <c:h val="0.36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19'!$B$82:$B$88</c:f>
              <c:strCache/>
            </c:strRef>
          </c:cat>
          <c:val>
            <c:numRef>
              <c:f>'квітень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025"/>
          <c:w val="0.843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825"/>
          <c:y val="0.236"/>
          <c:w val="0.288"/>
          <c:h val="0.323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19'!$AD$20:$AD$27</c:f>
              <c:strCache/>
            </c:strRef>
          </c:cat>
          <c:val>
            <c:numRef>
              <c:f>'квітень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71775"/>
          <c:w val="0.868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4965"/>
          <c:w val="0.6465"/>
          <c:h val="0.392"/>
        </c:manualLayout>
      </c:layout>
      <c:lineChart>
        <c:grouping val="standard"/>
        <c:varyColors val="0"/>
        <c:ser>
          <c:idx val="0"/>
          <c:order val="0"/>
          <c:tx>
            <c:strRef>
              <c:f>'квітень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19'!$D$7:$X$7</c:f>
              <c:numCache/>
            </c:numRef>
          </c:val>
          <c:smooth val="0"/>
        </c:ser>
        <c:ser>
          <c:idx val="1"/>
          <c:order val="1"/>
          <c:tx>
            <c:strRef>
              <c:f>'квітень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19'!$D$8:$X$8</c:f>
              <c:numCache/>
            </c:numRef>
          </c:val>
          <c:smooth val="0"/>
        </c:ser>
        <c:marker val="1"/>
        <c:axId val="35907531"/>
        <c:axId val="54732324"/>
      </c:lineChart>
      <c:catAx>
        <c:axId val="35907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32324"/>
        <c:crosses val="autoZero"/>
        <c:auto val="1"/>
        <c:lblOffset val="100"/>
        <c:tickLblSkip val="1"/>
        <c:noMultiLvlLbl val="0"/>
      </c:catAx>
      <c:valAx>
        <c:axId val="54732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907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7"/>
          <c:y val="0.93725"/>
          <c:w val="0.794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49"/>
          <c:y val="0.114"/>
          <c:w val="0.16"/>
          <c:h val="0.1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19'!$B$9:$B$16</c:f>
              <c:strCache/>
            </c:strRef>
          </c:cat>
          <c:val>
            <c:numRef>
              <c:f>'квітень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"/>
          <c:w val="0.21975"/>
          <c:h val="0.8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8025"/>
          <c:y val="0.1625"/>
          <c:w val="0.306"/>
          <c:h val="0.3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19'!$B$82:$B$88</c:f>
              <c:strCache/>
            </c:strRef>
          </c:cat>
          <c:val>
            <c:numRef>
              <c:f>'травень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675"/>
          <c:y val="0.9025"/>
          <c:w val="0.843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8"/>
          <c:y val="0.192"/>
          <c:w val="0.29525"/>
          <c:h val="0.350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19'!$AD$20:$AD$27</c:f>
              <c:strCache/>
            </c:strRef>
          </c:cat>
          <c:val>
            <c:numRef>
              <c:f>'травень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5"/>
          <c:y val="0.7665"/>
          <c:w val="0.8672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5"/>
          <c:y val="0.0545"/>
          <c:w val="0.58775"/>
          <c:h val="0.4795"/>
        </c:manualLayout>
      </c:layout>
      <c:lineChart>
        <c:grouping val="standard"/>
        <c:varyColors val="0"/>
        <c:ser>
          <c:idx val="0"/>
          <c:order val="0"/>
          <c:tx>
            <c:strRef>
              <c:f>'травень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'травень 19'!$D$5:$X$5</c:f>
              <c:numCache/>
            </c:numRef>
          </c:cat>
          <c:val>
            <c:numRef>
              <c:f>'травень 19'!$D$7:$X$7</c:f>
              <c:numCache/>
            </c:numRef>
          </c:val>
          <c:smooth val="0"/>
        </c:ser>
        <c:ser>
          <c:idx val="1"/>
          <c:order val="1"/>
          <c:tx>
            <c:strRef>
              <c:f>'травень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'травень 19'!$D$5:$X$5</c:f>
              <c:numCache/>
            </c:numRef>
          </c:cat>
          <c:val>
            <c:numRef>
              <c:f>'травень 19'!$D$8:$X$8</c:f>
              <c:numCache/>
            </c:numRef>
          </c:val>
          <c:smooth val="0"/>
        </c:ser>
        <c:marker val="1"/>
        <c:axId val="22828869"/>
        <c:axId val="4133230"/>
      </c:lineChart>
      <c:catAx>
        <c:axId val="22828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3230"/>
        <c:crosses val="autoZero"/>
        <c:auto val="1"/>
        <c:lblOffset val="100"/>
        <c:tickLblSkip val="1"/>
        <c:noMultiLvlLbl val="0"/>
      </c:catAx>
      <c:valAx>
        <c:axId val="4133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828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85"/>
          <c:y val="0.8745"/>
          <c:w val="0.794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57"/>
          <c:y val="0.1085"/>
          <c:w val="0.16925"/>
          <c:h val="0.20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75"/>
          <c:y val="0.84175"/>
          <c:w val="0.868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45"/>
          <c:y val="0.086"/>
          <c:w val="0.13675"/>
          <c:h val="0.13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19'!$B$9:$B$16</c:f>
              <c:strCache/>
            </c:strRef>
          </c:cat>
          <c:val>
            <c:numRef>
              <c:f>'травень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25"/>
          <c:y val="0"/>
          <c:w val="0.21875"/>
          <c:h val="0.8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9875"/>
          <c:y val="0.16825"/>
          <c:w val="0.28875"/>
          <c:h val="0.363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19'!$B$82:$B$88</c:f>
              <c:strCache/>
            </c:strRef>
          </c:cat>
          <c:val>
            <c:numRef>
              <c:f>'червень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75"/>
          <c:y val="0.9025"/>
          <c:w val="0.843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4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725"/>
          <c:y val="0.225"/>
          <c:w val="0.3165"/>
          <c:h val="0.331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19'!$AD$20:$AD$27</c:f>
              <c:strCache/>
            </c:strRef>
          </c:cat>
          <c:val>
            <c:numRef>
              <c:f>'червень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15"/>
          <c:y val="0.77725"/>
          <c:w val="0.868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925"/>
          <c:w val="0.82"/>
          <c:h val="0.63175"/>
        </c:manualLayout>
      </c:layout>
      <c:lineChart>
        <c:grouping val="standard"/>
        <c:varyColors val="0"/>
        <c:ser>
          <c:idx val="0"/>
          <c:order val="0"/>
          <c:tx>
            <c:strRef>
              <c:f>'червень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'червень 19'!$D$5:$X$5</c:f>
              <c:numCache/>
            </c:numRef>
          </c:cat>
          <c:val>
            <c:numRef>
              <c:f>'червень 19'!$D$7:$X$7</c:f>
              <c:numCache/>
            </c:numRef>
          </c:val>
          <c:smooth val="0"/>
        </c:ser>
        <c:ser>
          <c:idx val="1"/>
          <c:order val="1"/>
          <c:tx>
            <c:strRef>
              <c:f>'червень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'червень 19'!$D$5:$X$5</c:f>
              <c:numCache/>
            </c:numRef>
          </c:cat>
          <c:val>
            <c:numRef>
              <c:f>'червень 19'!$D$8:$X$8</c:f>
              <c:numCache/>
            </c:numRef>
          </c:val>
          <c:smooth val="0"/>
        </c:ser>
        <c:marker val="1"/>
        <c:axId val="37199071"/>
        <c:axId val="66356184"/>
      </c:lineChart>
      <c:catAx>
        <c:axId val="37199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56184"/>
        <c:crosses val="autoZero"/>
        <c:auto val="1"/>
        <c:lblOffset val="100"/>
        <c:tickLblSkip val="1"/>
        <c:noMultiLvlLbl val="0"/>
      </c:catAx>
      <c:valAx>
        <c:axId val="66356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199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45"/>
          <c:y val="0.878"/>
          <c:w val="0.794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20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555"/>
          <c:y val="0.1395"/>
          <c:w val="0.3585"/>
          <c:h val="0.30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'червень 19'!$B$9:$B$16</c:f>
              <c:strCache/>
            </c:strRef>
          </c:cat>
          <c:val>
            <c:numRef>
              <c:f>'червень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75"/>
          <c:y val="0"/>
          <c:w val="0.218"/>
          <c:h val="0.8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3"/>
          <c:y val="0.18525"/>
          <c:w val="0.2675"/>
          <c:h val="0.3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'[1]липень 19'!$B$82:$B$88</c:f>
              <c:strCache>
                <c:ptCount val="7"/>
                <c:pt idx="0">
                  <c:v>заробітна плата</c:v>
                </c:pt>
                <c:pt idx="1">
                  <c:v>медикаменти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заходи</c:v>
                </c:pt>
                <c:pt idx="5">
                  <c:v>поточні трансферти</c:v>
                </c:pt>
                <c:pt idx="6">
                  <c:v>інші поточні видатки</c:v>
                </c:pt>
              </c:strCache>
            </c:strRef>
          </c:cat>
          <c:val>
            <c:numRef>
              <c:f>'[1]липень 19'!$AA$82:$AA$88</c:f>
              <c:numCache>
                <c:ptCount val="7"/>
                <c:pt idx="0">
                  <c:v>8679.001999999999</c:v>
                </c:pt>
                <c:pt idx="1">
                  <c:v>3.792</c:v>
                </c:pt>
                <c:pt idx="2">
                  <c:v>170.04600000000002</c:v>
                </c:pt>
                <c:pt idx="3">
                  <c:v>122.82799999999999</c:v>
                </c:pt>
                <c:pt idx="4">
                  <c:v>0</c:v>
                </c:pt>
                <c:pt idx="5">
                  <c:v>1892.2399999999998</c:v>
                </c:pt>
                <c:pt idx="6">
                  <c:v>7399.241000000001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635"/>
          <c:w val="0.850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635"/>
          <c:y val="0.186"/>
          <c:w val="0.23825"/>
          <c:h val="0.31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'[1]липень 19'!$AD$20:$AD$27</c:f>
              <c:strCache>
                <c:ptCount val="8"/>
                <c:pt idx="0">
                  <c:v>ОМС, інші видатки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Соцзахист</c:v>
                </c:pt>
                <c:pt idx="4">
                  <c:v>ЖКГ</c:v>
                </c:pt>
                <c:pt idx="5">
                  <c:v>Культура</c:v>
                </c:pt>
                <c:pt idx="6">
                  <c:v>Спорт</c:v>
                </c:pt>
                <c:pt idx="7">
                  <c:v>Інші видатки</c:v>
                </c:pt>
              </c:strCache>
            </c:strRef>
          </c:cat>
          <c:val>
            <c:numRef>
              <c:f>'[1]липень 19'!$AE$20:$AE$27</c:f>
              <c:numCache>
                <c:ptCount val="8"/>
                <c:pt idx="0">
                  <c:v>3585.613</c:v>
                </c:pt>
                <c:pt idx="1">
                  <c:v>4319.349999999999</c:v>
                </c:pt>
                <c:pt idx="2">
                  <c:v>94.236</c:v>
                </c:pt>
                <c:pt idx="3">
                  <c:v>1417.5040000000001</c:v>
                </c:pt>
                <c:pt idx="4">
                  <c:v>1626.254</c:v>
                </c:pt>
                <c:pt idx="5">
                  <c:v>572.182</c:v>
                </c:pt>
                <c:pt idx="6">
                  <c:v>483.43100000000004</c:v>
                </c:pt>
                <c:pt idx="7">
                  <c:v>6168.579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756"/>
          <c:w val="0.870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43775"/>
          <c:w val="0.78625"/>
          <c:h val="0.49775"/>
        </c:manualLayout>
      </c:layout>
      <c:lineChart>
        <c:grouping val="standard"/>
        <c:varyColors val="0"/>
        <c:ser>
          <c:idx val="0"/>
          <c:order val="0"/>
          <c:tx>
            <c:strRef>
              <c:f>'[1]липень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'[1]липень 19'!$D$5:$X$5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29</c:v>
                </c:pt>
              </c:numCache>
            </c:numRef>
          </c:cat>
          <c:val>
            <c:numRef>
              <c:f>'[1]липень 19'!$D$7:$X$7</c:f>
              <c:numCache>
                <c:ptCount val="21"/>
                <c:pt idx="0">
                  <c:v>944.8</c:v>
                </c:pt>
                <c:pt idx="8">
                  <c:v>944.8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'[1]липень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'[1]липень 19'!$D$5:$X$5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29</c:v>
                </c:pt>
              </c:numCache>
            </c:numRef>
          </c:cat>
          <c:val>
            <c:numRef>
              <c:f>'[1]липень 19'!$D$8:$X$8</c:f>
              <c:numCache>
                <c:ptCount val="21"/>
                <c:pt idx="0">
                  <c:v>353.40000000000003</c:v>
                </c:pt>
                <c:pt idx="1">
                  <c:v>268.9</c:v>
                </c:pt>
                <c:pt idx="2">
                  <c:v>213.29999999999998</c:v>
                </c:pt>
                <c:pt idx="3">
                  <c:v>914.1</c:v>
                </c:pt>
                <c:pt idx="4">
                  <c:v>3047.5</c:v>
                </c:pt>
                <c:pt idx="5">
                  <c:v>553.6999999999999</c:v>
                </c:pt>
                <c:pt idx="6">
                  <c:v>311.3</c:v>
                </c:pt>
                <c:pt idx="7">
                  <c:v>630.1</c:v>
                </c:pt>
                <c:pt idx="8">
                  <c:v>462.20000000000005</c:v>
                </c:pt>
                <c:pt idx="9">
                  <c:v>1670.3000000000002</c:v>
                </c:pt>
                <c:pt idx="10">
                  <c:v>657.6999999999999</c:v>
                </c:pt>
                <c:pt idx="11">
                  <c:v>437.49999999999994</c:v>
                </c:pt>
                <c:pt idx="12">
                  <c:v>432.09999999999997</c:v>
                </c:pt>
                <c:pt idx="13">
                  <c:v>633.0000000000001</c:v>
                </c:pt>
                <c:pt idx="14">
                  <c:v>1249.2</c:v>
                </c:pt>
                <c:pt idx="15">
                  <c:v>1168.9</c:v>
                </c:pt>
                <c:pt idx="16">
                  <c:v>803.4</c:v>
                </c:pt>
                <c:pt idx="17">
                  <c:v>1064.4</c:v>
                </c:pt>
                <c:pt idx="18">
                  <c:v>1385.5</c:v>
                </c:pt>
                <c:pt idx="19">
                  <c:v>1003.4</c:v>
                </c:pt>
                <c:pt idx="20">
                  <c:v>2453.5</c:v>
                </c:pt>
              </c:numCache>
            </c:numRef>
          </c:val>
          <c:smooth val="0"/>
        </c:ser>
        <c:marker val="1"/>
        <c:axId val="60334745"/>
        <c:axId val="6141794"/>
      </c:lineChart>
      <c:catAx>
        <c:axId val="60334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1794"/>
        <c:crosses val="autoZero"/>
        <c:auto val="1"/>
        <c:lblOffset val="100"/>
        <c:tickLblSkip val="1"/>
        <c:noMultiLvlLbl val="0"/>
      </c:catAx>
      <c:valAx>
        <c:axId val="6141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34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25"/>
          <c:y val="0.9325"/>
          <c:w val="0.8007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59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9"/>
          <c:y val="0.149"/>
          <c:w val="0.24875"/>
          <c:h val="0.27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'[1]липень 19'!$B$9:$B$16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'[1]липень 19'!$C$9:$C$16</c:f>
              <c:numCache>
                <c:ptCount val="8"/>
                <c:pt idx="0">
                  <c:v>10901.8</c:v>
                </c:pt>
                <c:pt idx="1">
                  <c:v>0.2</c:v>
                </c:pt>
                <c:pt idx="2">
                  <c:v>407.00000000000006</c:v>
                </c:pt>
                <c:pt idx="3">
                  <c:v>4019.1000000000004</c:v>
                </c:pt>
                <c:pt idx="4">
                  <c:v>2799.1999999999994</c:v>
                </c:pt>
                <c:pt idx="5">
                  <c:v>2643.9000000000005</c:v>
                </c:pt>
                <c:pt idx="6">
                  <c:v>292.6</c:v>
                </c:pt>
                <c:pt idx="7">
                  <c:v>477.79999999999995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"/>
          <c:w val="0.2185"/>
          <c:h val="0.8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25"/>
          <c:y val="0.1615"/>
          <c:w val="0.27775"/>
          <c:h val="0.36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'серпень 19'!$B$83:$B$89</c:f>
              <c:strCache/>
            </c:strRef>
          </c:cat>
          <c:val>
            <c:numRef>
              <c:f>'серпень 19'!$AA$83:$AA$89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775"/>
          <c:y val="0.9025"/>
          <c:w val="0.850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25"/>
          <c:y val="0.084"/>
          <c:w val="0.54575"/>
          <c:h val="0.43525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45439517"/>
        <c:axId val="6302470"/>
      </c:lineChart>
      <c:catAx>
        <c:axId val="45439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2470"/>
        <c:crosses val="autoZero"/>
        <c:auto val="1"/>
        <c:lblOffset val="100"/>
        <c:tickLblSkip val="1"/>
        <c:noMultiLvlLbl val="0"/>
      </c:catAx>
      <c:valAx>
        <c:axId val="63024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39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8"/>
          <c:y val="0.941"/>
          <c:w val="0.793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705"/>
          <c:y val="0.244"/>
          <c:w val="0.237"/>
          <c:h val="0.280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'серпень 19'!$AD$20:$AD$27</c:f>
              <c:strCache/>
            </c:strRef>
          </c:cat>
          <c:val>
            <c:numRef>
              <c:f>'серпень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77125"/>
          <c:w val="0.8712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43925"/>
          <c:w val="0.797"/>
          <c:h val="0.49625"/>
        </c:manualLayout>
      </c:layout>
      <c:lineChart>
        <c:grouping val="standard"/>
        <c:varyColors val="0"/>
        <c:ser>
          <c:idx val="0"/>
          <c:order val="0"/>
          <c:tx>
            <c:strRef>
              <c:f>'серпень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'серпень 19'!$D$5:$X$5</c:f>
              <c:numCache/>
            </c:numRef>
          </c:cat>
          <c:val>
            <c:numRef>
              <c:f>'серпень 19'!$D$7:$X$7</c:f>
              <c:numCache/>
            </c:numRef>
          </c:val>
          <c:smooth val="0"/>
        </c:ser>
        <c:ser>
          <c:idx val="1"/>
          <c:order val="1"/>
          <c:tx>
            <c:strRef>
              <c:f>'серпень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'серпень 19'!$D$5:$X$5</c:f>
              <c:numCache/>
            </c:numRef>
          </c:cat>
          <c:val>
            <c:numRef>
              <c:f>'серпень 19'!$D$8:$X$8</c:f>
              <c:numCache/>
            </c:numRef>
          </c:val>
          <c:smooth val="0"/>
        </c:ser>
        <c:marker val="1"/>
        <c:axId val="55276147"/>
        <c:axId val="27723276"/>
      </c:lineChart>
      <c:catAx>
        <c:axId val="55276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723276"/>
        <c:crosses val="autoZero"/>
        <c:auto val="1"/>
        <c:lblOffset val="100"/>
        <c:tickLblSkip val="1"/>
        <c:noMultiLvlLbl val="0"/>
      </c:catAx>
      <c:valAx>
        <c:axId val="27723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76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775"/>
          <c:y val="0.94175"/>
          <c:w val="0.8007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125"/>
          <c:y val="0.16425"/>
          <c:w val="0.2435"/>
          <c:h val="0.23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'серпень 19'!$B$9:$B$16</c:f>
              <c:strCache/>
            </c:strRef>
          </c:cat>
          <c:val>
            <c:numRef>
              <c:f>'серпень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"/>
          <c:w val="0.21775"/>
          <c:h val="0.8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575"/>
          <c:y val="0.16525"/>
          <c:w val="0.27175"/>
          <c:h val="0.362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'вересень 19'!$B$83:$B$89</c:f>
              <c:strCache/>
            </c:strRef>
          </c:cat>
          <c:val>
            <c:numRef>
              <c:f>'вересень 19'!$AA$83:$AA$89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45"/>
          <c:y val="0.9025"/>
          <c:w val="0.850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5425"/>
          <c:y val="0.23925"/>
          <c:w val="0.235"/>
          <c:h val="0.278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'вересень 19'!$AD$20:$AD$27</c:f>
              <c:strCache/>
            </c:strRef>
          </c:cat>
          <c:val>
            <c:numRef>
              <c:f>'вересень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5"/>
          <c:y val="0.74175"/>
          <c:w val="0.8717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5"/>
          <c:y val="0.43925"/>
          <c:w val="0.7625"/>
          <c:h val="0.49625"/>
        </c:manualLayout>
      </c:layout>
      <c:lineChart>
        <c:grouping val="standard"/>
        <c:varyColors val="0"/>
        <c:ser>
          <c:idx val="0"/>
          <c:order val="0"/>
          <c:tx>
            <c:strRef>
              <c:f>'вересень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'вересень 19'!$D$5:$X$5</c:f>
              <c:numCache/>
            </c:numRef>
          </c:cat>
          <c:val>
            <c:numRef>
              <c:f>'вересень 19'!$D$7:$X$7</c:f>
              <c:numCache/>
            </c:numRef>
          </c:val>
          <c:smooth val="0"/>
        </c:ser>
        <c:ser>
          <c:idx val="1"/>
          <c:order val="1"/>
          <c:tx>
            <c:strRef>
              <c:f>'вересень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'вересень 19'!$D$5:$X$5</c:f>
              <c:numCache/>
            </c:numRef>
          </c:cat>
          <c:val>
            <c:numRef>
              <c:f>'вересень 19'!$D$8:$X$8</c:f>
              <c:numCache/>
            </c:numRef>
          </c:val>
          <c:smooth val="0"/>
        </c:ser>
        <c:marker val="1"/>
        <c:axId val="48182893"/>
        <c:axId val="30992854"/>
      </c:lineChart>
      <c:catAx>
        <c:axId val="48182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92854"/>
        <c:crosses val="autoZero"/>
        <c:auto val="1"/>
        <c:lblOffset val="100"/>
        <c:tickLblSkip val="1"/>
        <c:noMultiLvlLbl val="0"/>
      </c:catAx>
      <c:valAx>
        <c:axId val="30992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82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775"/>
          <c:y val="0.94175"/>
          <c:w val="0.8007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96"/>
          <c:y val="0.16075"/>
          <c:w val="0.24875"/>
          <c:h val="0.242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'вересень 19'!$B$9:$B$16</c:f>
              <c:strCache/>
            </c:strRef>
          </c:cat>
          <c:val>
            <c:numRef>
              <c:f>'вересень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"/>
          <c:w val="0.21775"/>
          <c:h val="0.8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325"/>
          <c:y val="0.245"/>
          <c:w val="0.27475"/>
          <c:h val="0.3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'жовтень 19'!$B$83:$B$89</c:f>
              <c:strCache/>
            </c:strRef>
          </c:cat>
          <c:val>
            <c:numRef>
              <c:f>'жовтень 19'!$AA$83:$AA$89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5"/>
          <c:y val="0.9025"/>
          <c:w val="0.850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535"/>
          <c:y val="0.316"/>
          <c:w val="0.23325"/>
          <c:h val="0.294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'жовтень 19'!$AD$20:$AD$27</c:f>
              <c:strCache/>
            </c:strRef>
          </c:cat>
          <c:val>
            <c:numRef>
              <c:f>'жовтень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145"/>
          <c:w val="0.871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43925"/>
          <c:w val="0.728"/>
          <c:h val="0.49625"/>
        </c:manualLayout>
      </c:layout>
      <c:lineChart>
        <c:grouping val="standard"/>
        <c:varyColors val="0"/>
        <c:ser>
          <c:idx val="0"/>
          <c:order val="0"/>
          <c:tx>
            <c:strRef>
              <c:f>'жовтень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'жовтень 19'!$D$5:$X$5</c:f>
              <c:numCache/>
            </c:numRef>
          </c:cat>
          <c:val>
            <c:numRef>
              <c:f>'жовтень 19'!$D$7:$X$7</c:f>
              <c:numCache/>
            </c:numRef>
          </c:val>
          <c:smooth val="0"/>
        </c:ser>
        <c:ser>
          <c:idx val="1"/>
          <c:order val="1"/>
          <c:tx>
            <c:strRef>
              <c:f>'жовтень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'жовтень 19'!$D$5:$X$5</c:f>
              <c:numCache/>
            </c:numRef>
          </c:cat>
          <c:val>
            <c:numRef>
              <c:f>'жовтень 19'!$D$8:$X$8</c:f>
              <c:numCache/>
            </c:numRef>
          </c:val>
          <c:smooth val="0"/>
        </c:ser>
        <c:marker val="1"/>
        <c:axId val="10500231"/>
        <c:axId val="27393216"/>
      </c:lineChart>
      <c:catAx>
        <c:axId val="10500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93216"/>
        <c:crosses val="autoZero"/>
        <c:auto val="1"/>
        <c:lblOffset val="100"/>
        <c:tickLblSkip val="1"/>
        <c:noMultiLvlLbl val="0"/>
      </c:catAx>
      <c:valAx>
        <c:axId val="27393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00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325"/>
          <c:y val="0.94175"/>
          <c:w val="0.8007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22"/>
          <c:y val="0.05675"/>
          <c:w val="0.19"/>
          <c:h val="0.187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75"/>
          <c:y val="0"/>
          <c:w val="0.22"/>
          <c:h val="0.8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437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65"/>
          <c:y val="0.182"/>
          <c:w val="0.22675"/>
          <c:h val="0.23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'жовтень 19'!$B$9:$B$16</c:f>
              <c:strCache/>
            </c:strRef>
          </c:cat>
          <c:val>
            <c:numRef>
              <c:f>'жовтень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"/>
          <c:w val="0.217"/>
          <c:h val="0.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865"/>
          <c:y val="0.2815"/>
          <c:w val="0.398"/>
          <c:h val="0.528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'листопад 19'!$B$85:$B$91</c:f>
              <c:strCache/>
            </c:strRef>
          </c:cat>
          <c:val>
            <c:numRef>
              <c:f>'листопад 19'!$AA$85:$AA$91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3325"/>
          <c:w val="0.92125"/>
          <c:h val="0.1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775"/>
          <c:y val="0.264"/>
          <c:w val="0.37625"/>
          <c:h val="0.46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'листопад 19'!$AD$20:$AD$27</c:f>
              <c:strCache/>
            </c:strRef>
          </c:cat>
          <c:val>
            <c:numRef>
              <c:f>'листопад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"/>
          <c:y val="0.81275"/>
          <c:w val="0.925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4025"/>
          <c:w val="0.7645"/>
          <c:h val="0.788"/>
        </c:manualLayout>
      </c:layout>
      <c:lineChart>
        <c:grouping val="standard"/>
        <c:varyColors val="0"/>
        <c:ser>
          <c:idx val="1"/>
          <c:order val="0"/>
          <c:tx>
            <c:strRef>
              <c:f>'листопад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'листопад 19'!$D$7:$Y$7</c:f>
              <c:numCache/>
            </c:numRef>
          </c:val>
          <c:smooth val="0"/>
        </c:ser>
        <c:ser>
          <c:idx val="2"/>
          <c:order val="1"/>
          <c:tx>
            <c:strRef>
              <c:f>'листопад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'листопад 19'!$D$8:$Y$8</c:f>
              <c:numCache/>
            </c:numRef>
          </c:val>
          <c:smooth val="0"/>
        </c:ser>
        <c:marker val="1"/>
        <c:axId val="45212353"/>
        <c:axId val="4257994"/>
      </c:lineChart>
      <c:catAx>
        <c:axId val="45212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57994"/>
        <c:crosses val="autoZero"/>
        <c:auto val="1"/>
        <c:lblOffset val="100"/>
        <c:tickLblSkip val="1"/>
        <c:noMultiLvlLbl val="0"/>
      </c:catAx>
      <c:valAx>
        <c:axId val="4257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12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"/>
          <c:y val="0.9325"/>
          <c:w val="0.624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7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475"/>
          <c:y val="0.25775"/>
          <c:w val="0.37775"/>
          <c:h val="0.383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'листопад 19'!$B$9:$B$16</c:f>
              <c:strCache/>
            </c:strRef>
          </c:cat>
          <c:val>
            <c:numRef>
              <c:f>'листопад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06775"/>
          <c:w val="0.30725"/>
          <c:h val="0.8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9575"/>
          <c:y val="0.22075"/>
          <c:w val="0.397"/>
          <c:h val="0.52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'грудень 19'!$B$85:$B$91</c:f>
              <c:strCache/>
            </c:strRef>
          </c:cat>
          <c:val>
            <c:numRef>
              <c:f>'грудень 19'!$AA$85:$AA$91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345"/>
          <c:w val="0.9097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65"/>
          <c:y val="0.27725"/>
          <c:w val="0.37825"/>
          <c:h val="0.44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'грудень 19'!$AD$20:$AD$27</c:f>
              <c:strCache/>
            </c:strRef>
          </c:cat>
          <c:val>
            <c:numRef>
              <c:f>'грудень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5"/>
          <c:y val="0.81625"/>
          <c:w val="0.956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125"/>
          <c:w val="0.7635"/>
          <c:h val="0.787"/>
        </c:manualLayout>
      </c:layout>
      <c:lineChart>
        <c:grouping val="standard"/>
        <c:varyColors val="0"/>
        <c:ser>
          <c:idx val="1"/>
          <c:order val="0"/>
          <c:tx>
            <c:strRef>
              <c:f>'грудень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'грудень 19'!$D$7:$X$7</c:f>
              <c:numCache/>
            </c:numRef>
          </c:val>
          <c:smooth val="0"/>
        </c:ser>
        <c:ser>
          <c:idx val="2"/>
          <c:order val="1"/>
          <c:tx>
            <c:strRef>
              <c:f>'грудень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'грудень 19'!$D$8:$X$8</c:f>
              <c:numCache/>
            </c:numRef>
          </c:val>
          <c:smooth val="0"/>
        </c:ser>
        <c:marker val="1"/>
        <c:axId val="38321947"/>
        <c:axId val="9353204"/>
      </c:lineChart>
      <c:catAx>
        <c:axId val="38321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53204"/>
        <c:crosses val="autoZero"/>
        <c:auto val="1"/>
        <c:lblOffset val="100"/>
        <c:tickLblSkip val="1"/>
        <c:noMultiLvlLbl val="0"/>
      </c:catAx>
      <c:valAx>
        <c:axId val="9353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21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8"/>
          <c:y val="0.93375"/>
          <c:w val="0.812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8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45"/>
          <c:y val="0.25775"/>
          <c:w val="0.3775"/>
          <c:h val="0.383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'грудень 19'!$B$9:$B$16</c:f>
              <c:strCache/>
            </c:strRef>
          </c:cat>
          <c:val>
            <c:numRef>
              <c:f>'грудень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09325"/>
          <c:w val="0.31325"/>
          <c:h val="0.8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72"/>
          <c:y val="0.11025"/>
          <c:w val="0.214"/>
          <c:h val="0.284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75"/>
          <c:y val="0.9025"/>
          <c:w val="0.843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685"/>
          <c:y val="0.27275"/>
          <c:w val="0.2245"/>
          <c:h val="0.25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25"/>
          <c:y val="0.60725"/>
          <c:w val="0.868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5"/>
          <c:y val="0.48925"/>
          <c:w val="0.7105"/>
          <c:h val="0.39925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56722231"/>
        <c:axId val="40738032"/>
      </c:lineChart>
      <c:catAx>
        <c:axId val="56722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38032"/>
        <c:crosses val="autoZero"/>
        <c:auto val="1"/>
        <c:lblOffset val="100"/>
        <c:tickLblSkip val="1"/>
        <c:noMultiLvlLbl val="0"/>
      </c:catAx>
      <c:valAx>
        <c:axId val="40738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22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42"/>
          <c:w val="0.794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125"/>
          <c:y val="0.24725"/>
          <c:w val="0.2475"/>
          <c:h val="0.227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25"/>
          <c:y val="0"/>
          <c:w val="0.21975"/>
          <c:h val="0.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435"/>
          <c:y val="0.121"/>
          <c:w val="0.227"/>
          <c:h val="0.30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19'!$B$79:$B$85</c:f>
              <c:strCache/>
            </c:strRef>
          </c:cat>
          <c:val>
            <c:numRef>
              <c:f>'березень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75"/>
          <c:y val="0.9015"/>
          <c:w val="0.8625"/>
          <c:h val="0.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84</xdr:row>
      <xdr:rowOff>104775</xdr:rowOff>
    </xdr:from>
    <xdr:to>
      <xdr:col>17</xdr:col>
      <xdr:colOff>352425</xdr:colOff>
      <xdr:row>117</xdr:row>
      <xdr:rowOff>76200</xdr:rowOff>
    </xdr:to>
    <xdr:graphicFrame>
      <xdr:nvGraphicFramePr>
        <xdr:cNvPr id="1" name="Диаграмма 1"/>
        <xdr:cNvGraphicFramePr/>
      </xdr:nvGraphicFramePr>
      <xdr:xfrm>
        <a:off x="628650" y="171735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542925</xdr:colOff>
      <xdr:row>84</xdr:row>
      <xdr:rowOff>142875</xdr:rowOff>
    </xdr:from>
    <xdr:to>
      <xdr:col>33</xdr:col>
      <xdr:colOff>247650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1963400" y="17211675"/>
        <a:ext cx="10001250" cy="616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561975</xdr:colOff>
      <xdr:row>122</xdr:row>
      <xdr:rowOff>104775</xdr:rowOff>
    </xdr:from>
    <xdr:to>
      <xdr:col>23</xdr:col>
      <xdr:colOff>133350</xdr:colOff>
      <xdr:row>156</xdr:row>
      <xdr:rowOff>171450</xdr:rowOff>
    </xdr:to>
    <xdr:graphicFrame>
      <xdr:nvGraphicFramePr>
        <xdr:cNvPr id="3" name="Диаграмма 10"/>
        <xdr:cNvGraphicFramePr/>
      </xdr:nvGraphicFramePr>
      <xdr:xfrm>
        <a:off x="561975" y="24422100"/>
        <a:ext cx="14478000" cy="656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371475</xdr:colOff>
      <xdr:row>122</xdr:row>
      <xdr:rowOff>104775</xdr:rowOff>
    </xdr:from>
    <xdr:to>
      <xdr:col>39</xdr:col>
      <xdr:colOff>152400</xdr:colOff>
      <xdr:row>156</xdr:row>
      <xdr:rowOff>180975</xdr:rowOff>
    </xdr:to>
    <xdr:graphicFrame>
      <xdr:nvGraphicFramePr>
        <xdr:cNvPr id="4" name="Диаграмма 1"/>
        <xdr:cNvGraphicFramePr/>
      </xdr:nvGraphicFramePr>
      <xdr:xfrm>
        <a:off x="15278100" y="24422100"/>
        <a:ext cx="10363200" cy="656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47625</xdr:rowOff>
    </xdr:from>
    <xdr:to>
      <xdr:col>16</xdr:col>
      <xdr:colOff>304800</xdr:colOff>
      <xdr:row>124</xdr:row>
      <xdr:rowOff>19050</xdr:rowOff>
    </xdr:to>
    <xdr:graphicFrame>
      <xdr:nvGraphicFramePr>
        <xdr:cNvPr id="1" name="Диаграмма 1"/>
        <xdr:cNvGraphicFramePr/>
      </xdr:nvGraphicFramePr>
      <xdr:xfrm>
        <a:off x="0" y="21336000"/>
        <a:ext cx="111442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571500</xdr:colOff>
      <xdr:row>91</xdr:row>
      <xdr:rowOff>47625</xdr:rowOff>
    </xdr:from>
    <xdr:to>
      <xdr:col>32</xdr:col>
      <xdr:colOff>323850</xdr:colOff>
      <xdr:row>124</xdr:row>
      <xdr:rowOff>47625</xdr:rowOff>
    </xdr:to>
    <xdr:graphicFrame>
      <xdr:nvGraphicFramePr>
        <xdr:cNvPr id="2" name="Диаграмма 4"/>
        <xdr:cNvGraphicFramePr/>
      </xdr:nvGraphicFramePr>
      <xdr:xfrm>
        <a:off x="11410950" y="21336000"/>
        <a:ext cx="1058227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180975</xdr:rowOff>
    </xdr:from>
    <xdr:to>
      <xdr:col>16</xdr:col>
      <xdr:colOff>342900</xdr:colOff>
      <xdr:row>161</xdr:row>
      <xdr:rowOff>104775</xdr:rowOff>
    </xdr:to>
    <xdr:graphicFrame>
      <xdr:nvGraphicFramePr>
        <xdr:cNvPr id="3" name="Диаграмма 10"/>
        <xdr:cNvGraphicFramePr/>
      </xdr:nvGraphicFramePr>
      <xdr:xfrm>
        <a:off x="0" y="28346400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47625</xdr:colOff>
      <xdr:row>127</xdr:row>
      <xdr:rowOff>152400</xdr:rowOff>
    </xdr:from>
    <xdr:to>
      <xdr:col>32</xdr:col>
      <xdr:colOff>438150</xdr:colOff>
      <xdr:row>161</xdr:row>
      <xdr:rowOff>47625</xdr:rowOff>
    </xdr:to>
    <xdr:graphicFrame>
      <xdr:nvGraphicFramePr>
        <xdr:cNvPr id="4" name="Диаграмма 1"/>
        <xdr:cNvGraphicFramePr/>
      </xdr:nvGraphicFramePr>
      <xdr:xfrm>
        <a:off x="11468100" y="28308300"/>
        <a:ext cx="10639425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94</xdr:row>
      <xdr:rowOff>85725</xdr:rowOff>
    </xdr:from>
    <xdr:to>
      <xdr:col>17</xdr:col>
      <xdr:colOff>76200</xdr:colOff>
      <xdr:row>127</xdr:row>
      <xdr:rowOff>47625</xdr:rowOff>
    </xdr:to>
    <xdr:graphicFrame>
      <xdr:nvGraphicFramePr>
        <xdr:cNvPr id="1" name="Диаграмма 1"/>
        <xdr:cNvGraphicFramePr/>
      </xdr:nvGraphicFramePr>
      <xdr:xfrm>
        <a:off x="352425" y="22107525"/>
        <a:ext cx="111442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94</xdr:row>
      <xdr:rowOff>76200</xdr:rowOff>
    </xdr:from>
    <xdr:to>
      <xdr:col>32</xdr:col>
      <xdr:colOff>523875</xdr:colOff>
      <xdr:row>127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2098000"/>
        <a:ext cx="1038225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129</xdr:row>
      <xdr:rowOff>47625</xdr:rowOff>
    </xdr:from>
    <xdr:to>
      <xdr:col>17</xdr:col>
      <xdr:colOff>85725</xdr:colOff>
      <xdr:row>162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7559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129</xdr:row>
      <xdr:rowOff>57150</xdr:rowOff>
    </xdr:from>
    <xdr:to>
      <xdr:col>32</xdr:col>
      <xdr:colOff>571500</xdr:colOff>
      <xdr:row>162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8755975"/>
        <a:ext cx="1043940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94</xdr:row>
      <xdr:rowOff>85725</xdr:rowOff>
    </xdr:from>
    <xdr:to>
      <xdr:col>17</xdr:col>
      <xdr:colOff>76200</xdr:colOff>
      <xdr:row>127</xdr:row>
      <xdr:rowOff>47625</xdr:rowOff>
    </xdr:to>
    <xdr:graphicFrame>
      <xdr:nvGraphicFramePr>
        <xdr:cNvPr id="1" name="Диаграмма 1"/>
        <xdr:cNvGraphicFramePr/>
      </xdr:nvGraphicFramePr>
      <xdr:xfrm>
        <a:off x="352425" y="21202650"/>
        <a:ext cx="111442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94</xdr:row>
      <xdr:rowOff>76200</xdr:rowOff>
    </xdr:from>
    <xdr:to>
      <xdr:col>32</xdr:col>
      <xdr:colOff>523875</xdr:colOff>
      <xdr:row>127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1193125"/>
        <a:ext cx="98012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129</xdr:row>
      <xdr:rowOff>47625</xdr:rowOff>
    </xdr:from>
    <xdr:to>
      <xdr:col>17</xdr:col>
      <xdr:colOff>85725</xdr:colOff>
      <xdr:row>162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785110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129</xdr:row>
      <xdr:rowOff>57150</xdr:rowOff>
    </xdr:from>
    <xdr:to>
      <xdr:col>32</xdr:col>
      <xdr:colOff>571500</xdr:colOff>
      <xdr:row>162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7851100"/>
        <a:ext cx="9858375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88</xdr:row>
      <xdr:rowOff>104775</xdr:rowOff>
    </xdr:from>
    <xdr:to>
      <xdr:col>17</xdr:col>
      <xdr:colOff>352425</xdr:colOff>
      <xdr:row>121</xdr:row>
      <xdr:rowOff>76200</xdr:rowOff>
    </xdr:to>
    <xdr:graphicFrame>
      <xdr:nvGraphicFramePr>
        <xdr:cNvPr id="1" name="Диаграмма 1"/>
        <xdr:cNvGraphicFramePr/>
      </xdr:nvGraphicFramePr>
      <xdr:xfrm>
        <a:off x="628650" y="196119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533400</xdr:colOff>
      <xdr:row>88</xdr:row>
      <xdr:rowOff>114300</xdr:rowOff>
    </xdr:from>
    <xdr:to>
      <xdr:col>33</xdr:col>
      <xdr:colOff>228600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1953875" y="19621500"/>
        <a:ext cx="9410700" cy="627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127</xdr:row>
      <xdr:rowOff>19050</xdr:rowOff>
    </xdr:from>
    <xdr:to>
      <xdr:col>17</xdr:col>
      <xdr:colOff>419100</xdr:colOff>
      <xdr:row>160</xdr:row>
      <xdr:rowOff>142875</xdr:rowOff>
    </xdr:to>
    <xdr:graphicFrame>
      <xdr:nvGraphicFramePr>
        <xdr:cNvPr id="3" name="Диаграмма 10"/>
        <xdr:cNvGraphicFramePr/>
      </xdr:nvGraphicFramePr>
      <xdr:xfrm>
        <a:off x="657225" y="26965275"/>
        <a:ext cx="111823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533400</xdr:colOff>
      <xdr:row>126</xdr:row>
      <xdr:rowOff>180975</xdr:rowOff>
    </xdr:from>
    <xdr:to>
      <xdr:col>33</xdr:col>
      <xdr:colOff>266700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1953875" y="26946225"/>
        <a:ext cx="9448800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88</xdr:row>
      <xdr:rowOff>104775</xdr:rowOff>
    </xdr:from>
    <xdr:to>
      <xdr:col>17</xdr:col>
      <xdr:colOff>352425</xdr:colOff>
      <xdr:row>121</xdr:row>
      <xdr:rowOff>76200</xdr:rowOff>
    </xdr:to>
    <xdr:graphicFrame>
      <xdr:nvGraphicFramePr>
        <xdr:cNvPr id="1" name="Диаграмма 1"/>
        <xdr:cNvGraphicFramePr/>
      </xdr:nvGraphicFramePr>
      <xdr:xfrm>
        <a:off x="628650" y="201453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533400</xdr:colOff>
      <xdr:row>89</xdr:row>
      <xdr:rowOff>114300</xdr:rowOff>
    </xdr:from>
    <xdr:to>
      <xdr:col>33</xdr:col>
      <xdr:colOff>228600</xdr:colOff>
      <xdr:row>122</xdr:row>
      <xdr:rowOff>104775</xdr:rowOff>
    </xdr:to>
    <xdr:graphicFrame>
      <xdr:nvGraphicFramePr>
        <xdr:cNvPr id="2" name="Диаграмма 4"/>
        <xdr:cNvGraphicFramePr/>
      </xdr:nvGraphicFramePr>
      <xdr:xfrm>
        <a:off x="11953875" y="20345400"/>
        <a:ext cx="94107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127</xdr:row>
      <xdr:rowOff>19050</xdr:rowOff>
    </xdr:from>
    <xdr:to>
      <xdr:col>17</xdr:col>
      <xdr:colOff>419100</xdr:colOff>
      <xdr:row>160</xdr:row>
      <xdr:rowOff>142875</xdr:rowOff>
    </xdr:to>
    <xdr:graphicFrame>
      <xdr:nvGraphicFramePr>
        <xdr:cNvPr id="3" name="Диаграмма 10"/>
        <xdr:cNvGraphicFramePr/>
      </xdr:nvGraphicFramePr>
      <xdr:xfrm>
        <a:off x="657225" y="27517725"/>
        <a:ext cx="111823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127</xdr:row>
      <xdr:rowOff>19050</xdr:rowOff>
    </xdr:from>
    <xdr:to>
      <xdr:col>33</xdr:col>
      <xdr:colOff>342900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2020550" y="27517725"/>
        <a:ext cx="94583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91</xdr:row>
      <xdr:rowOff>104775</xdr:rowOff>
    </xdr:from>
    <xdr:to>
      <xdr:col>17</xdr:col>
      <xdr:colOff>352425</xdr:colOff>
      <xdr:row>124</xdr:row>
      <xdr:rowOff>76200</xdr:rowOff>
    </xdr:to>
    <xdr:graphicFrame>
      <xdr:nvGraphicFramePr>
        <xdr:cNvPr id="1" name="Диаграмма 1"/>
        <xdr:cNvGraphicFramePr/>
      </xdr:nvGraphicFramePr>
      <xdr:xfrm>
        <a:off x="628650" y="21755100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533400</xdr:colOff>
      <xdr:row>91</xdr:row>
      <xdr:rowOff>114300</xdr:rowOff>
    </xdr:from>
    <xdr:to>
      <xdr:col>33</xdr:col>
      <xdr:colOff>228600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1953875" y="21764625"/>
        <a:ext cx="9410700" cy="627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130</xdr:row>
      <xdr:rowOff>19050</xdr:rowOff>
    </xdr:from>
    <xdr:to>
      <xdr:col>17</xdr:col>
      <xdr:colOff>419100</xdr:colOff>
      <xdr:row>163</xdr:row>
      <xdr:rowOff>142875</xdr:rowOff>
    </xdr:to>
    <xdr:graphicFrame>
      <xdr:nvGraphicFramePr>
        <xdr:cNvPr id="3" name="Диаграмма 10"/>
        <xdr:cNvGraphicFramePr/>
      </xdr:nvGraphicFramePr>
      <xdr:xfrm>
        <a:off x="657225" y="29108400"/>
        <a:ext cx="111823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130</xdr:row>
      <xdr:rowOff>19050</xdr:rowOff>
    </xdr:from>
    <xdr:to>
      <xdr:col>33</xdr:col>
      <xdr:colOff>342900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2020550" y="29108400"/>
        <a:ext cx="94583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91</xdr:row>
      <xdr:rowOff>19050</xdr:rowOff>
    </xdr:from>
    <xdr:to>
      <xdr:col>16</xdr:col>
      <xdr:colOff>342900</xdr:colOff>
      <xdr:row>123</xdr:row>
      <xdr:rowOff>180975</xdr:rowOff>
    </xdr:to>
    <xdr:graphicFrame>
      <xdr:nvGraphicFramePr>
        <xdr:cNvPr id="1" name="Диаграмма 1"/>
        <xdr:cNvGraphicFramePr/>
      </xdr:nvGraphicFramePr>
      <xdr:xfrm>
        <a:off x="38100" y="20764500"/>
        <a:ext cx="105632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533400</xdr:colOff>
      <xdr:row>91</xdr:row>
      <xdr:rowOff>19050</xdr:rowOff>
    </xdr:from>
    <xdr:to>
      <xdr:col>32</xdr:col>
      <xdr:colOff>285750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0791825" y="20764500"/>
        <a:ext cx="1000125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180975</xdr:rowOff>
    </xdr:from>
    <xdr:to>
      <xdr:col>16</xdr:col>
      <xdr:colOff>342900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0" y="27622500"/>
        <a:ext cx="10601325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127</xdr:row>
      <xdr:rowOff>19050</xdr:rowOff>
    </xdr:from>
    <xdr:to>
      <xdr:col>32</xdr:col>
      <xdr:colOff>257175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0725150" y="27651075"/>
        <a:ext cx="100393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91</xdr:row>
      <xdr:rowOff>19050</xdr:rowOff>
    </xdr:from>
    <xdr:to>
      <xdr:col>16</xdr:col>
      <xdr:colOff>342900</xdr:colOff>
      <xdr:row>123</xdr:row>
      <xdr:rowOff>180975</xdr:rowOff>
    </xdr:to>
    <xdr:graphicFrame>
      <xdr:nvGraphicFramePr>
        <xdr:cNvPr id="1" name="Диаграмма 1"/>
        <xdr:cNvGraphicFramePr/>
      </xdr:nvGraphicFramePr>
      <xdr:xfrm>
        <a:off x="38100" y="20631150"/>
        <a:ext cx="105632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533400</xdr:colOff>
      <xdr:row>91</xdr:row>
      <xdr:rowOff>19050</xdr:rowOff>
    </xdr:from>
    <xdr:to>
      <xdr:col>32</xdr:col>
      <xdr:colOff>285750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0791825" y="20631150"/>
        <a:ext cx="88392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180975</xdr:rowOff>
    </xdr:from>
    <xdr:to>
      <xdr:col>16</xdr:col>
      <xdr:colOff>342900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0" y="27489150"/>
        <a:ext cx="10601325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127</xdr:row>
      <xdr:rowOff>19050</xdr:rowOff>
    </xdr:from>
    <xdr:to>
      <xdr:col>32</xdr:col>
      <xdr:colOff>257175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0725150" y="27517725"/>
        <a:ext cx="88773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91</xdr:row>
      <xdr:rowOff>19050</xdr:rowOff>
    </xdr:from>
    <xdr:to>
      <xdr:col>16</xdr:col>
      <xdr:colOff>342900</xdr:colOff>
      <xdr:row>123</xdr:row>
      <xdr:rowOff>180975</xdr:rowOff>
    </xdr:to>
    <xdr:graphicFrame>
      <xdr:nvGraphicFramePr>
        <xdr:cNvPr id="1" name="Диаграмма 1"/>
        <xdr:cNvGraphicFramePr/>
      </xdr:nvGraphicFramePr>
      <xdr:xfrm>
        <a:off x="38100" y="2153602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561975</xdr:colOff>
      <xdr:row>91</xdr:row>
      <xdr:rowOff>9525</xdr:rowOff>
    </xdr:from>
    <xdr:to>
      <xdr:col>32</xdr:col>
      <xdr:colOff>314325</xdr:colOff>
      <xdr:row>123</xdr:row>
      <xdr:rowOff>200025</xdr:rowOff>
    </xdr:to>
    <xdr:graphicFrame>
      <xdr:nvGraphicFramePr>
        <xdr:cNvPr id="2" name="Диаграмма 4"/>
        <xdr:cNvGraphicFramePr/>
      </xdr:nvGraphicFramePr>
      <xdr:xfrm>
        <a:off x="11401425" y="21526500"/>
        <a:ext cx="111633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180975</xdr:rowOff>
    </xdr:from>
    <xdr:to>
      <xdr:col>16</xdr:col>
      <xdr:colOff>342900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0" y="28384500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127</xdr:row>
      <xdr:rowOff>9525</xdr:rowOff>
    </xdr:from>
    <xdr:to>
      <xdr:col>32</xdr:col>
      <xdr:colOff>361950</xdr:colOff>
      <xdr:row>160</xdr:row>
      <xdr:rowOff>104775</xdr:rowOff>
    </xdr:to>
    <xdr:graphicFrame>
      <xdr:nvGraphicFramePr>
        <xdr:cNvPr id="4" name="Диаграмма 1"/>
        <xdr:cNvGraphicFramePr/>
      </xdr:nvGraphicFramePr>
      <xdr:xfrm>
        <a:off x="11401425" y="28403550"/>
        <a:ext cx="11210925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142875</xdr:rowOff>
    </xdr:from>
    <xdr:to>
      <xdr:col>16</xdr:col>
      <xdr:colOff>304800</xdr:colOff>
      <xdr:row>124</xdr:row>
      <xdr:rowOff>114300</xdr:rowOff>
    </xdr:to>
    <xdr:graphicFrame>
      <xdr:nvGraphicFramePr>
        <xdr:cNvPr id="1" name="Диаграмма 1"/>
        <xdr:cNvGraphicFramePr/>
      </xdr:nvGraphicFramePr>
      <xdr:xfrm>
        <a:off x="0" y="21097875"/>
        <a:ext cx="111442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561975</xdr:colOff>
      <xdr:row>92</xdr:row>
      <xdr:rowOff>9525</xdr:rowOff>
    </xdr:from>
    <xdr:to>
      <xdr:col>32</xdr:col>
      <xdr:colOff>314325</xdr:colOff>
      <xdr:row>124</xdr:row>
      <xdr:rowOff>200025</xdr:rowOff>
    </xdr:to>
    <xdr:graphicFrame>
      <xdr:nvGraphicFramePr>
        <xdr:cNvPr id="2" name="Диаграмма 4"/>
        <xdr:cNvGraphicFramePr/>
      </xdr:nvGraphicFramePr>
      <xdr:xfrm>
        <a:off x="11401425" y="21155025"/>
        <a:ext cx="1000125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180975</xdr:rowOff>
    </xdr:from>
    <xdr:to>
      <xdr:col>16</xdr:col>
      <xdr:colOff>342900</xdr:colOff>
      <xdr:row>161</xdr:row>
      <xdr:rowOff>104775</xdr:rowOff>
    </xdr:to>
    <xdr:graphicFrame>
      <xdr:nvGraphicFramePr>
        <xdr:cNvPr id="3" name="Диаграмма 10"/>
        <xdr:cNvGraphicFramePr/>
      </xdr:nvGraphicFramePr>
      <xdr:xfrm>
        <a:off x="0" y="28013025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128</xdr:row>
      <xdr:rowOff>9525</xdr:rowOff>
    </xdr:from>
    <xdr:to>
      <xdr:col>32</xdr:col>
      <xdr:colOff>361950</xdr:colOff>
      <xdr:row>161</xdr:row>
      <xdr:rowOff>104775</xdr:rowOff>
    </xdr:to>
    <xdr:graphicFrame>
      <xdr:nvGraphicFramePr>
        <xdr:cNvPr id="4" name="Диаграмма 1"/>
        <xdr:cNvGraphicFramePr/>
      </xdr:nvGraphicFramePr>
      <xdr:xfrm>
        <a:off x="11401425" y="28032075"/>
        <a:ext cx="10048875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47625</xdr:rowOff>
    </xdr:from>
    <xdr:to>
      <xdr:col>16</xdr:col>
      <xdr:colOff>304800</xdr:colOff>
      <xdr:row>124</xdr:row>
      <xdr:rowOff>19050</xdr:rowOff>
    </xdr:to>
    <xdr:graphicFrame>
      <xdr:nvGraphicFramePr>
        <xdr:cNvPr id="1" name="Диаграмма 1"/>
        <xdr:cNvGraphicFramePr/>
      </xdr:nvGraphicFramePr>
      <xdr:xfrm>
        <a:off x="0" y="21907500"/>
        <a:ext cx="111442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571500</xdr:colOff>
      <xdr:row>91</xdr:row>
      <xdr:rowOff>47625</xdr:rowOff>
    </xdr:from>
    <xdr:to>
      <xdr:col>32</xdr:col>
      <xdr:colOff>323850</xdr:colOff>
      <xdr:row>124</xdr:row>
      <xdr:rowOff>47625</xdr:rowOff>
    </xdr:to>
    <xdr:graphicFrame>
      <xdr:nvGraphicFramePr>
        <xdr:cNvPr id="2" name="Диаграмма 4"/>
        <xdr:cNvGraphicFramePr/>
      </xdr:nvGraphicFramePr>
      <xdr:xfrm>
        <a:off x="11410950" y="21907500"/>
        <a:ext cx="1000125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180975</xdr:rowOff>
    </xdr:from>
    <xdr:to>
      <xdr:col>16</xdr:col>
      <xdr:colOff>342900</xdr:colOff>
      <xdr:row>161</xdr:row>
      <xdr:rowOff>104775</xdr:rowOff>
    </xdr:to>
    <xdr:graphicFrame>
      <xdr:nvGraphicFramePr>
        <xdr:cNvPr id="3" name="Диаграмма 10"/>
        <xdr:cNvGraphicFramePr/>
      </xdr:nvGraphicFramePr>
      <xdr:xfrm>
        <a:off x="0" y="28917900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128</xdr:row>
      <xdr:rowOff>9525</xdr:rowOff>
    </xdr:from>
    <xdr:to>
      <xdr:col>32</xdr:col>
      <xdr:colOff>361950</xdr:colOff>
      <xdr:row>161</xdr:row>
      <xdr:rowOff>104775</xdr:rowOff>
    </xdr:to>
    <xdr:graphicFrame>
      <xdr:nvGraphicFramePr>
        <xdr:cNvPr id="4" name="Диаграмма 1"/>
        <xdr:cNvGraphicFramePr/>
      </xdr:nvGraphicFramePr>
      <xdr:xfrm>
        <a:off x="11401425" y="28936950"/>
        <a:ext cx="10048875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pbmain\&#1052;&#1086;&#1080;%20&#1076;&#1086;&#1082;.&#1085;&#1072;%20&#1044;\&#1065;&#1086;&#1076;&#1077;&#1085;&#1085;&#1086;%20&#1085;&#1072;%20&#1089;&#1072;&#1081;&#1090;\&#1075;&#1088;&#1072;&#1092;&#1110;&#1082;&#1080;%202019%20&#1088;&#1086;&#1082;&#1091;\&#1051;&#1080;&#1087;&#1077;&#1085;&#1100;%202019\&#1043;&#1088;.%20&#1092;&#1110;&#1085;.%20&#1079;&#1072;%2031.07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19"/>
      <sheetName val="лютий 19"/>
      <sheetName val="березень 19"/>
      <sheetName val="квітень 19"/>
      <sheetName val="травень 19"/>
      <sheetName val="червень 19"/>
      <sheetName val="липень 19"/>
      <sheetName val="Лист2"/>
    </sheetNames>
    <sheetDataSet>
      <sheetData sheetId="6">
        <row r="5">
          <cell r="D5">
            <v>1</v>
          </cell>
          <cell r="E5">
            <v>2</v>
          </cell>
          <cell r="F5">
            <v>3</v>
          </cell>
          <cell r="G5">
            <v>4</v>
          </cell>
          <cell r="H5">
            <v>5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15</v>
          </cell>
          <cell r="O5">
            <v>16</v>
          </cell>
          <cell r="P5">
            <v>17</v>
          </cell>
          <cell r="Q5">
            <v>18</v>
          </cell>
          <cell r="R5">
            <v>19</v>
          </cell>
          <cell r="S5">
            <v>22</v>
          </cell>
          <cell r="T5">
            <v>23</v>
          </cell>
          <cell r="U5">
            <v>24</v>
          </cell>
          <cell r="V5">
            <v>25</v>
          </cell>
          <cell r="W5">
            <v>26</v>
          </cell>
          <cell r="X5">
            <v>29</v>
          </cell>
        </row>
        <row r="7">
          <cell r="B7" t="str">
            <v>   Трансферти (Освітня субвенція)</v>
          </cell>
          <cell r="D7">
            <v>944.8</v>
          </cell>
          <cell r="L7">
            <v>944.8</v>
          </cell>
        </row>
        <row r="8">
          <cell r="B8" t="str">
            <v>Доходи загального фонду, т.ч.</v>
          </cell>
          <cell r="D8">
            <v>353.40000000000003</v>
          </cell>
          <cell r="E8">
            <v>268.9</v>
          </cell>
          <cell r="F8">
            <v>213.29999999999998</v>
          </cell>
          <cell r="G8">
            <v>914.1</v>
          </cell>
          <cell r="H8">
            <v>3047.5</v>
          </cell>
          <cell r="I8">
            <v>553.6999999999999</v>
          </cell>
          <cell r="J8">
            <v>311.3</v>
          </cell>
          <cell r="K8">
            <v>630.1</v>
          </cell>
          <cell r="L8">
            <v>462.20000000000005</v>
          </cell>
          <cell r="M8">
            <v>1670.3000000000002</v>
          </cell>
          <cell r="N8">
            <v>657.6999999999999</v>
          </cell>
          <cell r="O8">
            <v>437.49999999999994</v>
          </cell>
          <cell r="P8">
            <v>432.09999999999997</v>
          </cell>
          <cell r="Q8">
            <v>633.0000000000001</v>
          </cell>
          <cell r="R8">
            <v>1249.2</v>
          </cell>
          <cell r="S8">
            <v>1168.9</v>
          </cell>
          <cell r="T8">
            <v>803.4</v>
          </cell>
          <cell r="U8">
            <v>1064.4</v>
          </cell>
          <cell r="V8">
            <v>1385.5</v>
          </cell>
          <cell r="W8">
            <v>1003.4</v>
          </cell>
          <cell r="X8">
            <v>2453.5</v>
          </cell>
        </row>
        <row r="9">
          <cell r="B9" t="str">
            <v>Податок на доходи фізичних осіб</v>
          </cell>
          <cell r="C9">
            <v>10901.8</v>
          </cell>
        </row>
        <row r="10">
          <cell r="B10" t="str">
            <v>Податок на прибуток підпрємств комунальної власності</v>
          </cell>
          <cell r="C10">
            <v>0.2</v>
          </cell>
        </row>
        <row r="11">
          <cell r="B11" t="str">
            <v>Акцизний податок</v>
          </cell>
          <cell r="C11">
            <v>407.00000000000006</v>
          </cell>
        </row>
        <row r="12">
          <cell r="B12" t="str">
            <v>Податок на нерухоме майно</v>
          </cell>
          <cell r="C12">
            <v>4019.1000000000004</v>
          </cell>
        </row>
        <row r="13">
          <cell r="B13" t="str">
            <v>Земельний податок</v>
          </cell>
          <cell r="C13">
            <v>2799.1999999999994</v>
          </cell>
        </row>
        <row r="14">
          <cell r="B14" t="str">
            <v>Єдиний податок </v>
          </cell>
          <cell r="C14">
            <v>2643.9000000000005</v>
          </cell>
        </row>
        <row r="15">
          <cell r="B15" t="str">
            <v>Плата за надання інших адмінпослуг</v>
          </cell>
          <cell r="C15">
            <v>292.6</v>
          </cell>
        </row>
        <row r="16">
          <cell r="B16" t="str">
            <v>Інші надходження, податки та збори</v>
          </cell>
          <cell r="C16">
            <v>477.79999999999995</v>
          </cell>
        </row>
        <row r="20">
          <cell r="AD20" t="str">
            <v>ОМС, інші видатки</v>
          </cell>
          <cell r="AE20">
            <v>3585.613</v>
          </cell>
        </row>
        <row r="21">
          <cell r="AD21" t="str">
            <v>Освіта</v>
          </cell>
          <cell r="AE21">
            <v>4319.349999999999</v>
          </cell>
        </row>
        <row r="22">
          <cell r="AD22" t="str">
            <v>Охорона здоров'я</v>
          </cell>
          <cell r="AE22">
            <v>94.236</v>
          </cell>
        </row>
        <row r="23">
          <cell r="AD23" t="str">
            <v>Соцзахист</v>
          </cell>
          <cell r="AE23">
            <v>1417.5040000000001</v>
          </cell>
        </row>
        <row r="24">
          <cell r="AD24" t="str">
            <v>ЖКГ</v>
          </cell>
          <cell r="AE24">
            <v>1626.254</v>
          </cell>
        </row>
        <row r="25">
          <cell r="AD25" t="str">
            <v>Культура</v>
          </cell>
          <cell r="AE25">
            <v>572.182</v>
          </cell>
        </row>
        <row r="26">
          <cell r="AD26" t="str">
            <v>Спорт</v>
          </cell>
          <cell r="AE26">
            <v>483.43100000000004</v>
          </cell>
        </row>
        <row r="27">
          <cell r="AD27" t="str">
            <v>Інші видатки</v>
          </cell>
          <cell r="AE27">
            <v>6168.579</v>
          </cell>
        </row>
        <row r="82">
          <cell r="B82" t="str">
            <v>заробітна плата</v>
          </cell>
          <cell r="AA82">
            <v>8679.001999999999</v>
          </cell>
        </row>
        <row r="83">
          <cell r="B83" t="str">
            <v>медикаменти</v>
          </cell>
          <cell r="AA83">
            <v>3.792</v>
          </cell>
        </row>
        <row r="84">
          <cell r="B84" t="str">
            <v>харчування</v>
          </cell>
          <cell r="AA84">
            <v>170.04600000000002</v>
          </cell>
        </row>
        <row r="85">
          <cell r="B85" t="str">
            <v>енергоносії</v>
          </cell>
          <cell r="AA85">
            <v>122.82799999999999</v>
          </cell>
        </row>
        <row r="86">
          <cell r="B86" t="str">
            <v>заходи</v>
          </cell>
          <cell r="AA86">
            <v>0</v>
          </cell>
        </row>
        <row r="87">
          <cell r="B87" t="str">
            <v>поточні трансферти</v>
          </cell>
          <cell r="AA87">
            <v>1892.2399999999998</v>
          </cell>
        </row>
        <row r="88">
          <cell r="B88" t="str">
            <v>інші поточні видатки</v>
          </cell>
          <cell r="AA88">
            <v>7399.241000000001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76" ySplit="2748" topLeftCell="AA83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4" width="8.7109375" style="69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7.25">
      <c r="B3" s="137" t="s">
        <v>68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">
      <c r="B4" s="69" t="s">
        <v>0</v>
      </c>
      <c r="AA4" s="70" t="s">
        <v>1</v>
      </c>
    </row>
    <row r="5" spans="2:27" ht="69">
      <c r="B5" s="74" t="s">
        <v>2</v>
      </c>
      <c r="C5" s="75" t="s">
        <v>3</v>
      </c>
      <c r="D5" s="76">
        <v>2</v>
      </c>
      <c r="E5" s="74">
        <v>3</v>
      </c>
      <c r="F5" s="74">
        <v>4</v>
      </c>
      <c r="G5" s="74">
        <v>8</v>
      </c>
      <c r="H5" s="74">
        <v>9</v>
      </c>
      <c r="I5" s="74">
        <v>10</v>
      </c>
      <c r="J5" s="77">
        <v>11</v>
      </c>
      <c r="K5" s="74">
        <v>14</v>
      </c>
      <c r="L5" s="74">
        <v>15</v>
      </c>
      <c r="M5" s="74">
        <v>16</v>
      </c>
      <c r="N5" s="74">
        <v>17</v>
      </c>
      <c r="O5" s="74">
        <v>18</v>
      </c>
      <c r="P5" s="74">
        <v>21</v>
      </c>
      <c r="Q5" s="74">
        <v>22</v>
      </c>
      <c r="R5" s="74">
        <v>23</v>
      </c>
      <c r="S5" s="74">
        <v>24</v>
      </c>
      <c r="T5" s="74">
        <v>25</v>
      </c>
      <c r="U5" s="74">
        <v>28</v>
      </c>
      <c r="V5" s="77">
        <v>29</v>
      </c>
      <c r="W5" s="74">
        <v>30</v>
      </c>
      <c r="X5" s="77">
        <v>31</v>
      </c>
      <c r="Y5" s="77"/>
      <c r="Z5" s="77"/>
      <c r="AA5" s="76" t="s">
        <v>4</v>
      </c>
    </row>
    <row r="6" spans="2:27" ht="27">
      <c r="B6" s="78" t="s">
        <v>5</v>
      </c>
      <c r="C6" s="79">
        <f>SUM(D6:Y6)</f>
        <v>0</v>
      </c>
      <c r="D6" s="80"/>
      <c r="E6" s="81"/>
      <c r="F6" s="82"/>
      <c r="G6" s="81"/>
      <c r="H6" s="82"/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27" ht="15">
      <c r="B7" s="84" t="s">
        <v>6</v>
      </c>
      <c r="C7" s="79">
        <f>SUM(D7:Y7)</f>
        <v>3600.3</v>
      </c>
      <c r="D7" s="85"/>
      <c r="E7" s="81">
        <v>1800.2</v>
      </c>
      <c r="F7" s="81"/>
      <c r="G7" s="81"/>
      <c r="H7" s="81"/>
      <c r="I7" s="81"/>
      <c r="J7" s="86">
        <v>1800.1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</row>
    <row r="8" spans="2:27" ht="15">
      <c r="B8" s="87" t="s">
        <v>8</v>
      </c>
      <c r="C8" s="88">
        <f aca="true" t="shared" si="0" ref="C8:C16">SUM(D8:Z8)</f>
        <v>16088.900000000001</v>
      </c>
      <c r="D8" s="89">
        <f aca="true" t="shared" si="1" ref="D8:Y8">SUM(D9:D16)</f>
        <v>0</v>
      </c>
      <c r="E8" s="89">
        <f t="shared" si="1"/>
        <v>339.5</v>
      </c>
      <c r="F8" s="89">
        <f t="shared" si="1"/>
        <v>1589.8000000000002</v>
      </c>
      <c r="G8" s="89">
        <f t="shared" si="1"/>
        <v>370.3</v>
      </c>
      <c r="H8" s="89">
        <f t="shared" si="1"/>
        <v>836.8000000000001</v>
      </c>
      <c r="I8" s="89">
        <f>SUM(I9:I16)</f>
        <v>547.5</v>
      </c>
      <c r="J8" s="89">
        <f t="shared" si="1"/>
        <v>1209.6000000000001</v>
      </c>
      <c r="K8" s="89">
        <f>SUM(K9:K16)</f>
        <v>451.5</v>
      </c>
      <c r="L8" s="89">
        <f t="shared" si="1"/>
        <v>832</v>
      </c>
      <c r="M8" s="89">
        <f t="shared" si="1"/>
        <v>606.2</v>
      </c>
      <c r="N8" s="89">
        <f t="shared" si="1"/>
        <v>710.4000000000001</v>
      </c>
      <c r="O8" s="89">
        <f t="shared" si="1"/>
        <v>683.5999999999999</v>
      </c>
      <c r="P8" s="89">
        <f t="shared" si="1"/>
        <v>1165.1</v>
      </c>
      <c r="Q8" s="89">
        <f t="shared" si="1"/>
        <v>835.1999999999999</v>
      </c>
      <c r="R8" s="89">
        <f t="shared" si="1"/>
        <v>830.3</v>
      </c>
      <c r="S8" s="89">
        <f>SUM(S9:S16)</f>
        <v>372.29999999999995</v>
      </c>
      <c r="T8" s="89">
        <f>SUM(T9:T16)</f>
        <v>1919.9000000000003</v>
      </c>
      <c r="U8" s="89">
        <f t="shared" si="1"/>
        <v>1131.2</v>
      </c>
      <c r="V8" s="89">
        <f t="shared" si="1"/>
        <v>785.6</v>
      </c>
      <c r="W8" s="89">
        <f t="shared" si="1"/>
        <v>526.4</v>
      </c>
      <c r="X8" s="89">
        <f t="shared" si="1"/>
        <v>345.7</v>
      </c>
      <c r="Y8" s="89">
        <f t="shared" si="1"/>
        <v>0</v>
      </c>
      <c r="Z8" s="89">
        <f>SUM(Z9:Z16)</f>
        <v>0</v>
      </c>
      <c r="AA8" s="89" t="s">
        <v>7</v>
      </c>
    </row>
    <row r="9" spans="2:40" s="94" customFormat="1" ht="15">
      <c r="B9" s="27" t="s">
        <v>9</v>
      </c>
      <c r="C9" s="90">
        <f t="shared" si="0"/>
        <v>8788.3</v>
      </c>
      <c r="D9" s="91"/>
      <c r="E9" s="86">
        <v>110.7</v>
      </c>
      <c r="F9" s="86">
        <v>1469.3</v>
      </c>
      <c r="G9" s="86">
        <v>228.2</v>
      </c>
      <c r="H9" s="86">
        <v>43.4</v>
      </c>
      <c r="I9" s="86">
        <v>379</v>
      </c>
      <c r="J9" s="86">
        <v>1019.2</v>
      </c>
      <c r="K9" s="86">
        <v>231</v>
      </c>
      <c r="L9" s="86">
        <v>535.5</v>
      </c>
      <c r="M9" s="86">
        <v>404.6</v>
      </c>
      <c r="N9" s="86">
        <v>272.1</v>
      </c>
      <c r="O9" s="86">
        <v>348.9</v>
      </c>
      <c r="P9" s="86">
        <v>986</v>
      </c>
      <c r="Q9" s="86">
        <v>554.3</v>
      </c>
      <c r="R9" s="92">
        <v>298.7</v>
      </c>
      <c r="S9" s="92">
        <v>106.8</v>
      </c>
      <c r="T9" s="86">
        <v>479.7</v>
      </c>
      <c r="U9" s="92">
        <v>473.6</v>
      </c>
      <c r="V9" s="86">
        <v>285.5</v>
      </c>
      <c r="W9" s="86">
        <v>290.8</v>
      </c>
      <c r="X9" s="86">
        <v>271</v>
      </c>
      <c r="Y9" s="86"/>
      <c r="Z9" s="86"/>
      <c r="AA9" s="91"/>
      <c r="AB9" s="93"/>
      <c r="AD9" s="95"/>
      <c r="AE9" s="96"/>
      <c r="AF9" s="96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6"/>
      <c r="AE10" s="96"/>
      <c r="AF10" s="96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378.90000000000003</v>
      </c>
      <c r="D11" s="91"/>
      <c r="E11" s="86">
        <v>0.9</v>
      </c>
      <c r="F11" s="86">
        <v>0.4</v>
      </c>
      <c r="G11" s="86">
        <v>2.6</v>
      </c>
      <c r="H11" s="86">
        <v>23.1</v>
      </c>
      <c r="I11" s="86">
        <v>0.1</v>
      </c>
      <c r="J11" s="86">
        <v>5.2</v>
      </c>
      <c r="K11" s="86">
        <v>1</v>
      </c>
      <c r="L11" s="86">
        <v>3.1</v>
      </c>
      <c r="M11" s="86">
        <v>2.6</v>
      </c>
      <c r="N11" s="86">
        <v>3.8</v>
      </c>
      <c r="O11" s="86">
        <v>5.3</v>
      </c>
      <c r="P11" s="86">
        <v>20.2</v>
      </c>
      <c r="Q11" s="86">
        <v>9.5</v>
      </c>
      <c r="R11" s="92">
        <v>3.6</v>
      </c>
      <c r="S11" s="92">
        <v>89.3</v>
      </c>
      <c r="T11" s="86">
        <v>99.5</v>
      </c>
      <c r="U11" s="92">
        <v>67.7</v>
      </c>
      <c r="V11" s="86">
        <v>6.1</v>
      </c>
      <c r="W11" s="86">
        <v>34.6</v>
      </c>
      <c r="X11" s="86">
        <v>0.3</v>
      </c>
      <c r="Y11" s="86"/>
      <c r="Z11" s="86"/>
      <c r="AA11" s="91"/>
      <c r="AB11" s="93"/>
      <c r="AD11" s="96"/>
      <c r="AE11" s="96"/>
      <c r="AF11" s="96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">
      <c r="B12" s="27" t="s">
        <v>12</v>
      </c>
      <c r="C12" s="90">
        <f t="shared" si="0"/>
        <v>1899.1</v>
      </c>
      <c r="D12" s="91"/>
      <c r="E12" s="86">
        <v>2.7</v>
      </c>
      <c r="F12" s="86"/>
      <c r="G12" s="86">
        <v>1.4</v>
      </c>
      <c r="H12" s="86">
        <v>430</v>
      </c>
      <c r="I12" s="86">
        <v>25.3</v>
      </c>
      <c r="J12" s="86"/>
      <c r="K12" s="86">
        <v>8.6</v>
      </c>
      <c r="L12" s="86">
        <v>5.5</v>
      </c>
      <c r="M12" s="86">
        <v>14</v>
      </c>
      <c r="N12" s="86">
        <v>71.1</v>
      </c>
      <c r="O12" s="86">
        <v>12.5</v>
      </c>
      <c r="P12" s="86">
        <v>10.7</v>
      </c>
      <c r="Q12" s="86">
        <v>86.3</v>
      </c>
      <c r="R12" s="92">
        <v>76.8</v>
      </c>
      <c r="S12" s="92">
        <v>54.9</v>
      </c>
      <c r="T12" s="86">
        <v>774.1</v>
      </c>
      <c r="U12" s="92">
        <v>211</v>
      </c>
      <c r="V12" s="86">
        <v>112.1</v>
      </c>
      <c r="W12" s="86">
        <v>1.8</v>
      </c>
      <c r="X12" s="86">
        <v>0.3</v>
      </c>
      <c r="Y12" s="86"/>
      <c r="Z12" s="86"/>
      <c r="AA12" s="91"/>
      <c r="AB12" s="93"/>
      <c r="AD12" s="95"/>
      <c r="AE12" s="96"/>
      <c r="AF12" s="96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">
      <c r="B13" s="27" t="s">
        <v>13</v>
      </c>
      <c r="C13" s="90">
        <f t="shared" si="0"/>
        <v>1927.7000000000003</v>
      </c>
      <c r="D13" s="91"/>
      <c r="E13" s="86">
        <v>139.2</v>
      </c>
      <c r="F13" s="86">
        <v>16.7</v>
      </c>
      <c r="G13" s="86">
        <v>2.4</v>
      </c>
      <c r="H13" s="86">
        <v>8</v>
      </c>
      <c r="I13" s="86">
        <v>4</v>
      </c>
      <c r="J13" s="86">
        <v>6</v>
      </c>
      <c r="K13" s="86">
        <v>21.9</v>
      </c>
      <c r="L13" s="86">
        <v>26.8</v>
      </c>
      <c r="M13" s="86">
        <v>13.7</v>
      </c>
      <c r="N13" s="86">
        <v>107.1</v>
      </c>
      <c r="O13" s="86">
        <v>72.3</v>
      </c>
      <c r="P13" s="86">
        <v>40.6</v>
      </c>
      <c r="Q13" s="86">
        <v>56.5</v>
      </c>
      <c r="R13" s="92">
        <v>307.2</v>
      </c>
      <c r="S13" s="92">
        <v>63.2</v>
      </c>
      <c r="T13" s="86">
        <v>402.7</v>
      </c>
      <c r="U13" s="92">
        <v>310.2</v>
      </c>
      <c r="V13" s="86">
        <v>204.3</v>
      </c>
      <c r="W13" s="86">
        <v>121.7</v>
      </c>
      <c r="X13" s="86">
        <v>3.2</v>
      </c>
      <c r="Y13" s="86"/>
      <c r="Z13" s="86"/>
      <c r="AA13" s="91"/>
      <c r="AB13" s="93"/>
      <c r="AD13" s="95"/>
      <c r="AE13" s="96"/>
      <c r="AF13" s="96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">
      <c r="B14" s="27" t="s">
        <v>14</v>
      </c>
      <c r="C14" s="90">
        <f t="shared" si="0"/>
        <v>2489.2999999999997</v>
      </c>
      <c r="D14" s="91"/>
      <c r="E14" s="86">
        <v>71</v>
      </c>
      <c r="F14" s="86">
        <v>87.3</v>
      </c>
      <c r="G14" s="86">
        <v>117.5</v>
      </c>
      <c r="H14" s="86">
        <v>319.2</v>
      </c>
      <c r="I14" s="86">
        <v>113.2</v>
      </c>
      <c r="J14" s="86">
        <v>82.4</v>
      </c>
      <c r="K14" s="86">
        <v>165.7</v>
      </c>
      <c r="L14" s="86">
        <v>237.8</v>
      </c>
      <c r="M14" s="86">
        <v>151.3</v>
      </c>
      <c r="N14" s="86">
        <v>214</v>
      </c>
      <c r="O14" s="86">
        <v>212.3</v>
      </c>
      <c r="P14" s="86">
        <v>83.6</v>
      </c>
      <c r="Q14" s="86">
        <v>68.4</v>
      </c>
      <c r="R14" s="92">
        <v>125.7</v>
      </c>
      <c r="S14" s="92">
        <v>40.4</v>
      </c>
      <c r="T14" s="86">
        <v>141.7</v>
      </c>
      <c r="U14" s="92">
        <v>40.3</v>
      </c>
      <c r="V14" s="86">
        <v>147.4</v>
      </c>
      <c r="W14" s="86">
        <v>53.7</v>
      </c>
      <c r="X14" s="86">
        <v>16.4</v>
      </c>
      <c r="Y14" s="86"/>
      <c r="Z14" s="86"/>
      <c r="AA14" s="91"/>
      <c r="AB14" s="93"/>
      <c r="AD14" s="95"/>
      <c r="AE14" s="96"/>
      <c r="AF14" s="96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229.50000000000003</v>
      </c>
      <c r="D15" s="91"/>
      <c r="E15" s="86">
        <v>7.9</v>
      </c>
      <c r="F15" s="86">
        <v>10.7</v>
      </c>
      <c r="G15" s="86">
        <v>7.8</v>
      </c>
      <c r="H15" s="86">
        <v>6.9</v>
      </c>
      <c r="I15" s="86">
        <v>18.3</v>
      </c>
      <c r="J15" s="86">
        <v>11.6</v>
      </c>
      <c r="K15" s="86">
        <v>9.8</v>
      </c>
      <c r="L15" s="86">
        <v>13.9</v>
      </c>
      <c r="M15" s="86">
        <v>13.1</v>
      </c>
      <c r="N15" s="86">
        <v>11.2</v>
      </c>
      <c r="O15" s="86">
        <v>10.9</v>
      </c>
      <c r="P15" s="86">
        <v>11.8</v>
      </c>
      <c r="Q15" s="86">
        <v>9.7</v>
      </c>
      <c r="R15" s="92">
        <v>14.4</v>
      </c>
      <c r="S15" s="92">
        <v>16.2</v>
      </c>
      <c r="T15" s="86">
        <v>5.3</v>
      </c>
      <c r="U15" s="92">
        <v>10.5</v>
      </c>
      <c r="V15" s="86">
        <v>12</v>
      </c>
      <c r="W15" s="86">
        <v>15.3</v>
      </c>
      <c r="X15" s="86">
        <v>12.2</v>
      </c>
      <c r="Y15" s="86"/>
      <c r="Z15" s="86"/>
      <c r="AA15" s="91"/>
      <c r="AB15" s="93"/>
      <c r="AD15" s="95"/>
      <c r="AE15" s="96"/>
      <c r="AF15" s="96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376.0999999999999</v>
      </c>
      <c r="D16" s="91"/>
      <c r="E16" s="86">
        <v>7.1</v>
      </c>
      <c r="F16" s="86">
        <v>5.4</v>
      </c>
      <c r="G16" s="86">
        <v>10.4</v>
      </c>
      <c r="H16" s="86">
        <v>6.2</v>
      </c>
      <c r="I16" s="86">
        <v>7.6</v>
      </c>
      <c r="J16" s="86">
        <v>85.2</v>
      </c>
      <c r="K16" s="86">
        <v>13.5</v>
      </c>
      <c r="L16" s="86">
        <v>9.4</v>
      </c>
      <c r="M16" s="86">
        <v>6.9</v>
      </c>
      <c r="N16" s="86">
        <v>31.1</v>
      </c>
      <c r="O16" s="86">
        <v>21.4</v>
      </c>
      <c r="P16" s="86">
        <v>12.2</v>
      </c>
      <c r="Q16" s="86">
        <v>50.5</v>
      </c>
      <c r="R16" s="92">
        <v>3.9</v>
      </c>
      <c r="S16" s="92">
        <v>1.5</v>
      </c>
      <c r="T16" s="86">
        <v>16.9</v>
      </c>
      <c r="U16" s="92">
        <v>17.9</v>
      </c>
      <c r="V16" s="86">
        <v>18.2</v>
      </c>
      <c r="W16" s="86">
        <v>8.5</v>
      </c>
      <c r="X16" s="92">
        <v>42.3</v>
      </c>
      <c r="Y16" s="86"/>
      <c r="Z16" s="86"/>
      <c r="AA16" s="91"/>
      <c r="AB16" s="98"/>
      <c r="AD16" s="95"/>
      <c r="AE16" s="96"/>
      <c r="AF16" s="96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19689.2</v>
      </c>
      <c r="D17" s="101">
        <f>SUM(D6:D8)</f>
        <v>0</v>
      </c>
      <c r="E17" s="101">
        <f aca="true" t="shared" si="2" ref="E17:Y17">SUM(E6:E8)</f>
        <v>2139.7</v>
      </c>
      <c r="F17" s="101">
        <f t="shared" si="2"/>
        <v>1589.8000000000002</v>
      </c>
      <c r="G17" s="101">
        <f t="shared" si="2"/>
        <v>370.3</v>
      </c>
      <c r="H17" s="101">
        <f t="shared" si="2"/>
        <v>836.8000000000001</v>
      </c>
      <c r="I17" s="101">
        <f t="shared" si="2"/>
        <v>547.5</v>
      </c>
      <c r="J17" s="101">
        <f t="shared" si="2"/>
        <v>3009.7</v>
      </c>
      <c r="K17" s="101">
        <f t="shared" si="2"/>
        <v>451.5</v>
      </c>
      <c r="L17" s="101">
        <f t="shared" si="2"/>
        <v>832</v>
      </c>
      <c r="M17" s="101">
        <f>SUM(M6:M8)</f>
        <v>606.2</v>
      </c>
      <c r="N17" s="101">
        <f t="shared" si="2"/>
        <v>710.4000000000001</v>
      </c>
      <c r="O17" s="101">
        <f t="shared" si="2"/>
        <v>683.5999999999999</v>
      </c>
      <c r="P17" s="101">
        <f t="shared" si="2"/>
        <v>1165.1</v>
      </c>
      <c r="Q17" s="101">
        <f t="shared" si="2"/>
        <v>835.1999999999999</v>
      </c>
      <c r="R17" s="101">
        <f t="shared" si="2"/>
        <v>830.3</v>
      </c>
      <c r="S17" s="101">
        <f t="shared" si="2"/>
        <v>372.29999999999995</v>
      </c>
      <c r="T17" s="101">
        <f>SUM(T6:T8)</f>
        <v>1919.9000000000003</v>
      </c>
      <c r="U17" s="101">
        <f t="shared" si="2"/>
        <v>1131.2</v>
      </c>
      <c r="V17" s="101">
        <f t="shared" si="2"/>
        <v>785.6</v>
      </c>
      <c r="W17" s="101">
        <f t="shared" si="2"/>
        <v>526.4</v>
      </c>
      <c r="X17" s="101">
        <f t="shared" si="2"/>
        <v>345.7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7"/>
      <c r="AE17" s="67"/>
      <c r="AF17" s="67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">
      <c r="B18" s="102" t="s">
        <v>18</v>
      </c>
      <c r="C18" s="103">
        <f>C19+C23+C29+C31+C32+C33+C34+C40+C44+C48+C51+C56+C62+C66+C70+C71+C72+C73</f>
        <v>22218.796000000006</v>
      </c>
      <c r="D18" s="103">
        <f aca="true" t="shared" si="3" ref="D18:AA18">D19+D23+D29+D31+D32+D33+D34+D40+D44+D48+D51+D56+D62+D66+D70+D71+D72+D73</f>
        <v>0</v>
      </c>
      <c r="E18" s="103">
        <f t="shared" si="3"/>
        <v>0</v>
      </c>
      <c r="F18" s="103">
        <f t="shared" si="3"/>
        <v>0</v>
      </c>
      <c r="G18" s="103">
        <f t="shared" si="3"/>
        <v>0</v>
      </c>
      <c r="H18" s="103">
        <f t="shared" si="3"/>
        <v>0</v>
      </c>
      <c r="I18" s="103">
        <f t="shared" si="3"/>
        <v>1231.9</v>
      </c>
      <c r="J18" s="103">
        <f t="shared" si="3"/>
        <v>369.974</v>
      </c>
      <c r="K18" s="103">
        <f t="shared" si="3"/>
        <v>1370.9499999999998</v>
      </c>
      <c r="L18" s="103">
        <f t="shared" si="3"/>
        <v>2369.6359999999995</v>
      </c>
      <c r="M18" s="103">
        <f t="shared" si="3"/>
        <v>1972.6190000000001</v>
      </c>
      <c r="N18" s="103">
        <f t="shared" si="3"/>
        <v>0</v>
      </c>
      <c r="O18" s="103">
        <f t="shared" si="3"/>
        <v>544.987</v>
      </c>
      <c r="P18" s="103">
        <f t="shared" si="3"/>
        <v>9.883</v>
      </c>
      <c r="Q18" s="103">
        <f t="shared" si="3"/>
        <v>3.783</v>
      </c>
      <c r="R18" s="103">
        <f t="shared" si="3"/>
        <v>965.263</v>
      </c>
      <c r="S18" s="103">
        <f t="shared" si="3"/>
        <v>3271.1879999999996</v>
      </c>
      <c r="T18" s="103">
        <f t="shared" si="3"/>
        <v>2562.62</v>
      </c>
      <c r="U18" s="103">
        <f t="shared" si="3"/>
        <v>928.1819999999999</v>
      </c>
      <c r="V18" s="103">
        <f t="shared" si="3"/>
        <v>44.342</v>
      </c>
      <c r="W18" s="103">
        <f t="shared" si="3"/>
        <v>0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15645.326999999997</v>
      </c>
      <c r="AB18" s="104">
        <f aca="true" t="shared" si="4" ref="AB18:AB64">AA18-C18</f>
        <v>-6573.469000000008</v>
      </c>
      <c r="AD18" s="67"/>
      <c r="AE18" s="67"/>
      <c r="AF18" s="67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">
      <c r="A19" s="66">
        <v>10116</v>
      </c>
      <c r="B19" s="105" t="s">
        <v>19</v>
      </c>
      <c r="C19" s="106">
        <f aca="true" t="shared" si="5" ref="C19:AA19">SUM(C20:C22)</f>
        <v>3148.16</v>
      </c>
      <c r="D19" s="106">
        <f t="shared" si="5"/>
        <v>0</v>
      </c>
      <c r="E19" s="106">
        <f t="shared" si="5"/>
        <v>0</v>
      </c>
      <c r="F19" s="106">
        <f t="shared" si="5"/>
        <v>0</v>
      </c>
      <c r="G19" s="106">
        <f t="shared" si="5"/>
        <v>0</v>
      </c>
      <c r="H19" s="106">
        <f t="shared" si="5"/>
        <v>0</v>
      </c>
      <c r="I19" s="106">
        <f t="shared" si="5"/>
        <v>0</v>
      </c>
      <c r="J19" s="106">
        <f t="shared" si="5"/>
        <v>246.862</v>
      </c>
      <c r="K19" s="106">
        <f t="shared" si="5"/>
        <v>740.507</v>
      </c>
      <c r="L19" s="106">
        <f t="shared" si="5"/>
        <v>14.005</v>
      </c>
      <c r="M19" s="106">
        <f t="shared" si="5"/>
        <v>0</v>
      </c>
      <c r="N19" s="106">
        <f t="shared" si="5"/>
        <v>0</v>
      </c>
      <c r="O19" s="106">
        <f t="shared" si="5"/>
        <v>50.004</v>
      </c>
      <c r="P19" s="106">
        <f t="shared" si="5"/>
        <v>0.7</v>
      </c>
      <c r="Q19" s="106">
        <f t="shared" si="5"/>
        <v>1.068</v>
      </c>
      <c r="R19" s="106">
        <f t="shared" si="5"/>
        <v>67.811</v>
      </c>
      <c r="S19" s="106">
        <f t="shared" si="5"/>
        <v>1033.355</v>
      </c>
      <c r="T19" s="106">
        <f>SUM(T20:T22)</f>
        <v>277.699</v>
      </c>
      <c r="U19" s="106">
        <f t="shared" si="5"/>
        <v>41.047999999999995</v>
      </c>
      <c r="V19" s="106">
        <f t="shared" si="5"/>
        <v>24.724</v>
      </c>
      <c r="W19" s="106">
        <f t="shared" si="5"/>
        <v>0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2497.783</v>
      </c>
      <c r="AB19" s="104">
        <f t="shared" si="4"/>
        <v>-650.377</v>
      </c>
      <c r="AD19" s="72"/>
      <c r="AE19" s="67"/>
      <c r="AF19" s="67"/>
      <c r="AG19" s="68"/>
      <c r="AH19" s="68"/>
      <c r="AI19" s="68"/>
      <c r="AJ19" s="68"/>
      <c r="AK19" s="68"/>
      <c r="AL19" s="68"/>
      <c r="AM19" s="68"/>
      <c r="AN19" s="68"/>
    </row>
    <row r="20" spans="2:31" ht="15">
      <c r="B20" s="107" t="s">
        <v>20</v>
      </c>
      <c r="C20" s="108">
        <f>2524.02+25.5+11+2.72</f>
        <v>2563.24</v>
      </c>
      <c r="D20" s="81"/>
      <c r="E20" s="81"/>
      <c r="F20" s="81"/>
      <c r="G20" s="81"/>
      <c r="H20" s="81"/>
      <c r="I20" s="81"/>
      <c r="J20" s="86">
        <v>244.994</v>
      </c>
      <c r="K20" s="81">
        <v>740.5</v>
      </c>
      <c r="L20" s="81">
        <v>13.855</v>
      </c>
      <c r="M20" s="81"/>
      <c r="N20" s="81"/>
      <c r="O20" s="81"/>
      <c r="P20" s="81"/>
      <c r="Q20" s="81"/>
      <c r="R20" s="81">
        <v>42.859</v>
      </c>
      <c r="S20" s="81">
        <f>848.76+132.367</f>
        <v>981.127</v>
      </c>
      <c r="T20" s="81">
        <v>277.699</v>
      </c>
      <c r="U20" s="81">
        <v>38.583</v>
      </c>
      <c r="V20" s="86"/>
      <c r="W20" s="86"/>
      <c r="X20" s="86"/>
      <c r="Y20" s="81"/>
      <c r="Z20" s="81"/>
      <c r="AA20" s="81">
        <f>SUM(D20:Z20)</f>
        <v>2339.617</v>
      </c>
      <c r="AB20" s="104">
        <f t="shared" si="4"/>
        <v>-223.6229999999996</v>
      </c>
      <c r="AD20" s="67" t="s">
        <v>21</v>
      </c>
      <c r="AE20" s="109">
        <f>AA19</f>
        <v>2497.783</v>
      </c>
    </row>
    <row r="21" spans="2:31" ht="15">
      <c r="B21" s="107" t="s">
        <v>22</v>
      </c>
      <c r="C21" s="108">
        <f>299.3-11</f>
        <v>288.3</v>
      </c>
      <c r="D21" s="81"/>
      <c r="E21" s="81"/>
      <c r="F21" s="81"/>
      <c r="G21" s="81"/>
      <c r="H21" s="81"/>
      <c r="I21" s="81"/>
      <c r="J21" s="86"/>
      <c r="K21" s="81"/>
      <c r="L21" s="81"/>
      <c r="M21" s="81"/>
      <c r="N21" s="81"/>
      <c r="O21" s="81"/>
      <c r="P21" s="81"/>
      <c r="Q21" s="81">
        <v>0.201</v>
      </c>
      <c r="R21" s="81"/>
      <c r="S21" s="81">
        <v>0.045</v>
      </c>
      <c r="T21" s="81"/>
      <c r="U21" s="81">
        <v>0.428</v>
      </c>
      <c r="V21" s="86">
        <v>0.354</v>
      </c>
      <c r="W21" s="86"/>
      <c r="X21" s="86"/>
      <c r="Y21" s="81"/>
      <c r="Z21" s="81"/>
      <c r="AA21" s="81">
        <f>SUM(D21:Z21)</f>
        <v>1.028</v>
      </c>
      <c r="AB21" s="104">
        <f t="shared" si="4"/>
        <v>-287.272</v>
      </c>
      <c r="AD21" s="67" t="s">
        <v>23</v>
      </c>
      <c r="AE21" s="109">
        <f>AA23</f>
        <v>8359.530999999999</v>
      </c>
    </row>
    <row r="22" spans="2:31" ht="15">
      <c r="B22" s="107" t="s">
        <v>24</v>
      </c>
      <c r="C22" s="108">
        <v>296.62</v>
      </c>
      <c r="D22" s="81"/>
      <c r="E22" s="81"/>
      <c r="F22" s="81"/>
      <c r="G22" s="81"/>
      <c r="H22" s="81"/>
      <c r="I22" s="81"/>
      <c r="J22" s="81">
        <v>1.868</v>
      </c>
      <c r="K22" s="81">
        <v>0.007</v>
      </c>
      <c r="L22" s="81">
        <v>0.15</v>
      </c>
      <c r="M22" s="81"/>
      <c r="N22" s="81"/>
      <c r="O22" s="81">
        <v>50.004</v>
      </c>
      <c r="P22" s="81">
        <v>0.7</v>
      </c>
      <c r="Q22" s="81">
        <v>0.867</v>
      </c>
      <c r="R22" s="81">
        <v>24.952</v>
      </c>
      <c r="S22" s="81">
        <v>52.183</v>
      </c>
      <c r="T22" s="81"/>
      <c r="U22" s="81">
        <v>2.037</v>
      </c>
      <c r="V22" s="81">
        <v>24.37</v>
      </c>
      <c r="W22" s="81"/>
      <c r="X22" s="81"/>
      <c r="Y22" s="81"/>
      <c r="Z22" s="81"/>
      <c r="AA22" s="81">
        <f>SUM(D22:Z22)</f>
        <v>157.138</v>
      </c>
      <c r="AB22" s="104">
        <f t="shared" si="4"/>
        <v>-139.482</v>
      </c>
      <c r="AD22" s="67" t="s">
        <v>25</v>
      </c>
      <c r="AE22" s="109">
        <f>$AA$29</f>
        <v>209.896</v>
      </c>
    </row>
    <row r="23" spans="1:40" s="66" customFormat="1" ht="15">
      <c r="A23" s="66">
        <v>7000</v>
      </c>
      <c r="B23" s="105" t="s">
        <v>26</v>
      </c>
      <c r="C23" s="106">
        <f aca="true" t="shared" si="6" ref="C23:AA23">SUM(C24:C28)</f>
        <v>11926.928000000002</v>
      </c>
      <c r="D23" s="106">
        <f t="shared" si="6"/>
        <v>0</v>
      </c>
      <c r="E23" s="106">
        <f t="shared" si="6"/>
        <v>0</v>
      </c>
      <c r="F23" s="106">
        <f t="shared" si="6"/>
        <v>0</v>
      </c>
      <c r="G23" s="106">
        <f t="shared" si="6"/>
        <v>0</v>
      </c>
      <c r="H23" s="106">
        <f t="shared" si="6"/>
        <v>0</v>
      </c>
      <c r="I23" s="106">
        <f t="shared" si="6"/>
        <v>0</v>
      </c>
      <c r="J23" s="106">
        <f t="shared" si="6"/>
        <v>123.112</v>
      </c>
      <c r="K23" s="106">
        <f t="shared" si="6"/>
        <v>537.217</v>
      </c>
      <c r="L23" s="106">
        <f t="shared" si="6"/>
        <v>1718.1509999999998</v>
      </c>
      <c r="M23" s="106">
        <f t="shared" si="6"/>
        <v>704.815</v>
      </c>
      <c r="N23" s="106">
        <f t="shared" si="6"/>
        <v>0</v>
      </c>
      <c r="O23" s="106">
        <f t="shared" si="6"/>
        <v>0.818</v>
      </c>
      <c r="P23" s="106">
        <f t="shared" si="6"/>
        <v>7.9</v>
      </c>
      <c r="Q23" s="106">
        <f t="shared" si="6"/>
        <v>0</v>
      </c>
      <c r="R23" s="106">
        <f t="shared" si="6"/>
        <v>798.7130000000001</v>
      </c>
      <c r="S23" s="106">
        <f t="shared" si="6"/>
        <v>2124.662</v>
      </c>
      <c r="T23" s="106">
        <f>SUM(T24:T28)</f>
        <v>1869.631</v>
      </c>
      <c r="U23" s="106">
        <f>SUM(U24:U28)</f>
        <v>474.512</v>
      </c>
      <c r="V23" s="106">
        <f t="shared" si="6"/>
        <v>0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8359.530999999999</v>
      </c>
      <c r="AB23" s="104">
        <f t="shared" si="4"/>
        <v>-3567.3970000000027</v>
      </c>
      <c r="AD23" s="67" t="s">
        <v>27</v>
      </c>
      <c r="AE23" s="109">
        <f>$AA$31+$AA$32+$AA$34+$AA$40+$AA$44+$AA$33</f>
        <v>920.008</v>
      </c>
      <c r="AF23" s="67"/>
      <c r="AG23" s="68"/>
      <c r="AH23" s="68"/>
      <c r="AI23" s="68"/>
      <c r="AJ23" s="68"/>
      <c r="AK23" s="68"/>
      <c r="AL23" s="68"/>
      <c r="AM23" s="68"/>
      <c r="AN23" s="68"/>
    </row>
    <row r="24" spans="2:31" ht="15">
      <c r="B24" s="107" t="s">
        <v>20</v>
      </c>
      <c r="C24" s="108">
        <v>8532.788</v>
      </c>
      <c r="D24" s="81"/>
      <c r="E24" s="81"/>
      <c r="F24" s="81"/>
      <c r="G24" s="81"/>
      <c r="H24" s="81"/>
      <c r="I24" s="81"/>
      <c r="J24" s="86">
        <v>122.881</v>
      </c>
      <c r="K24" s="81">
        <v>537.217</v>
      </c>
      <c r="L24" s="81">
        <f>500.263+1217.888</f>
        <v>1718.1509999999998</v>
      </c>
      <c r="M24" s="81">
        <f>515.931+188.884</f>
        <v>704.815</v>
      </c>
      <c r="N24" s="81"/>
      <c r="O24" s="81"/>
      <c r="P24" s="81">
        <v>7.9</v>
      </c>
      <c r="Q24" s="81"/>
      <c r="R24" s="110">
        <f>530.767+158.219+9.427</f>
        <v>698.4130000000001</v>
      </c>
      <c r="S24" s="81">
        <f>846.377+1126.12</f>
        <v>1972.4969999999998</v>
      </c>
      <c r="T24" s="81">
        <f>906.203+899.789</f>
        <v>1805.992</v>
      </c>
      <c r="U24" s="81">
        <v>281.956</v>
      </c>
      <c r="V24" s="86"/>
      <c r="W24" s="86"/>
      <c r="X24" s="86"/>
      <c r="Y24" s="81"/>
      <c r="Z24" s="81"/>
      <c r="AA24" s="81">
        <f>SUM(D24:Z24)</f>
        <v>7849.822</v>
      </c>
      <c r="AB24" s="104">
        <f t="shared" si="4"/>
        <v>-682.9660000000003</v>
      </c>
      <c r="AD24" s="67" t="s">
        <v>28</v>
      </c>
      <c r="AE24" s="109">
        <f>$AA$62</f>
        <v>469</v>
      </c>
    </row>
    <row r="25" spans="2:31" ht="15">
      <c r="B25" s="107" t="s">
        <v>29</v>
      </c>
      <c r="C25" s="108">
        <v>2.1</v>
      </c>
      <c r="D25" s="81"/>
      <c r="E25" s="81"/>
      <c r="F25" s="81"/>
      <c r="G25" s="81"/>
      <c r="H25" s="81"/>
      <c r="I25" s="81"/>
      <c r="J25" s="86"/>
      <c r="K25" s="81"/>
      <c r="L25" s="81"/>
      <c r="M25" s="81"/>
      <c r="N25" s="81"/>
      <c r="O25" s="81"/>
      <c r="P25" s="81"/>
      <c r="Q25" s="81"/>
      <c r="R25" s="110"/>
      <c r="S25" s="81"/>
      <c r="T25" s="81"/>
      <c r="U25" s="81"/>
      <c r="V25" s="86"/>
      <c r="W25" s="86"/>
      <c r="X25" s="86"/>
      <c r="Y25" s="81"/>
      <c r="Z25" s="81"/>
      <c r="AA25" s="81">
        <f>SUM(D25:Z25)</f>
        <v>0</v>
      </c>
      <c r="AB25" s="104">
        <f t="shared" si="4"/>
        <v>-2.1</v>
      </c>
      <c r="AD25" s="67" t="s">
        <v>30</v>
      </c>
      <c r="AE25" s="109">
        <f>$AA$51</f>
        <v>436.353</v>
      </c>
    </row>
    <row r="26" spans="2:31" ht="15">
      <c r="B26" s="107" t="s">
        <v>31</v>
      </c>
      <c r="C26" s="108">
        <v>563.1</v>
      </c>
      <c r="D26" s="81"/>
      <c r="E26" s="81"/>
      <c r="F26" s="81"/>
      <c r="G26" s="81"/>
      <c r="H26" s="81"/>
      <c r="I26" s="81"/>
      <c r="J26" s="86"/>
      <c r="K26" s="81"/>
      <c r="L26" s="81"/>
      <c r="M26" s="81"/>
      <c r="N26" s="81"/>
      <c r="O26" s="81"/>
      <c r="P26" s="81"/>
      <c r="Q26" s="81"/>
      <c r="R26" s="110">
        <v>70.467</v>
      </c>
      <c r="S26" s="81">
        <v>128.449</v>
      </c>
      <c r="T26" s="81">
        <v>40.909</v>
      </c>
      <c r="U26" s="81">
        <v>71.844</v>
      </c>
      <c r="V26" s="86"/>
      <c r="W26" s="86"/>
      <c r="X26" s="86"/>
      <c r="Y26" s="81"/>
      <c r="Z26" s="81"/>
      <c r="AA26" s="81">
        <f>SUM(D26:Z26)</f>
        <v>311.669</v>
      </c>
      <c r="AB26" s="104">
        <f t="shared" si="4"/>
        <v>-251.43100000000004</v>
      </c>
      <c r="AD26" s="67" t="s">
        <v>32</v>
      </c>
      <c r="AE26" s="109">
        <f>$AA$56</f>
        <v>288.956</v>
      </c>
    </row>
    <row r="27" spans="2:31" ht="15">
      <c r="B27" s="107" t="s">
        <v>22</v>
      </c>
      <c r="C27" s="108">
        <v>2545.93</v>
      </c>
      <c r="D27" s="81"/>
      <c r="E27" s="81"/>
      <c r="F27" s="81"/>
      <c r="G27" s="81"/>
      <c r="H27" s="81"/>
      <c r="I27" s="81"/>
      <c r="J27" s="86"/>
      <c r="K27" s="81"/>
      <c r="L27" s="81"/>
      <c r="M27" s="81"/>
      <c r="N27" s="81"/>
      <c r="O27" s="81"/>
      <c r="P27" s="81"/>
      <c r="Q27" s="81"/>
      <c r="R27" s="110">
        <v>1.929</v>
      </c>
      <c r="S27" s="81">
        <v>15.961</v>
      </c>
      <c r="T27" s="81">
        <v>19.491</v>
      </c>
      <c r="U27" s="81">
        <v>114.02</v>
      </c>
      <c r="V27" s="86"/>
      <c r="W27" s="86"/>
      <c r="X27" s="86"/>
      <c r="Y27" s="81"/>
      <c r="Z27" s="81"/>
      <c r="AA27" s="81">
        <f>SUM(D27:Z27)</f>
        <v>151.401</v>
      </c>
      <c r="AB27" s="104">
        <f t="shared" si="4"/>
        <v>-2394.529</v>
      </c>
      <c r="AD27" s="67" t="s">
        <v>33</v>
      </c>
      <c r="AE27" s="109">
        <f>$AA$48+$AA$66+$AA$70+$AA$71+$AA$73+$AA$72+$AA$68</f>
        <v>2463.8</v>
      </c>
    </row>
    <row r="28" spans="2:31" ht="15">
      <c r="B28" s="107" t="s">
        <v>24</v>
      </c>
      <c r="C28" s="108">
        <v>283.01</v>
      </c>
      <c r="D28" s="81"/>
      <c r="E28" s="81"/>
      <c r="F28" s="81"/>
      <c r="G28" s="81"/>
      <c r="H28" s="81"/>
      <c r="I28" s="81"/>
      <c r="J28" s="81">
        <v>0.231</v>
      </c>
      <c r="K28" s="81"/>
      <c r="L28" s="81"/>
      <c r="M28" s="81"/>
      <c r="N28" s="81"/>
      <c r="O28" s="81">
        <v>0.818</v>
      </c>
      <c r="P28" s="81"/>
      <c r="Q28" s="81"/>
      <c r="R28" s="81">
        <v>27.904</v>
      </c>
      <c r="S28" s="81">
        <v>7.755</v>
      </c>
      <c r="T28" s="81">
        <v>3.239</v>
      </c>
      <c r="U28" s="81">
        <v>6.692</v>
      </c>
      <c r="V28" s="81"/>
      <c r="W28" s="81"/>
      <c r="X28" s="81"/>
      <c r="Y28" s="81"/>
      <c r="Z28" s="81"/>
      <c r="AA28" s="81">
        <f>SUM(D28:Z28)</f>
        <v>46.638999999999996</v>
      </c>
      <c r="AB28" s="104">
        <f t="shared" si="4"/>
        <v>-236.37099999999998</v>
      </c>
      <c r="AE28" s="111"/>
    </row>
    <row r="29" spans="2:31" ht="27.75">
      <c r="B29" s="105" t="s">
        <v>34</v>
      </c>
      <c r="C29" s="106">
        <f>C30</f>
        <v>1000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0</v>
      </c>
      <c r="G29" s="106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0</v>
      </c>
      <c r="K29" s="106">
        <f t="shared" si="7"/>
        <v>0</v>
      </c>
      <c r="L29" s="106">
        <f t="shared" si="7"/>
        <v>144.021</v>
      </c>
      <c r="M29" s="106">
        <f t="shared" si="7"/>
        <v>0</v>
      </c>
      <c r="N29" s="106">
        <f t="shared" si="7"/>
        <v>0</v>
      </c>
      <c r="O29" s="106">
        <f t="shared" si="7"/>
        <v>0</v>
      </c>
      <c r="P29" s="106">
        <f t="shared" si="7"/>
        <v>0</v>
      </c>
      <c r="Q29" s="106">
        <f t="shared" si="7"/>
        <v>0</v>
      </c>
      <c r="R29" s="106">
        <f t="shared" si="7"/>
        <v>30.915</v>
      </c>
      <c r="S29" s="106">
        <f t="shared" si="7"/>
        <v>0</v>
      </c>
      <c r="T29" s="106">
        <f t="shared" si="7"/>
        <v>15.342</v>
      </c>
      <c r="U29" s="106">
        <f t="shared" si="7"/>
        <v>0</v>
      </c>
      <c r="V29" s="106">
        <f t="shared" si="7"/>
        <v>19.618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209.896</v>
      </c>
      <c r="AB29" s="104">
        <f t="shared" si="4"/>
        <v>-790.104</v>
      </c>
      <c r="AE29" s="111"/>
    </row>
    <row r="30" spans="2:31" ht="15">
      <c r="B30" s="112" t="s">
        <v>35</v>
      </c>
      <c r="C30" s="113">
        <v>1000</v>
      </c>
      <c r="D30" s="86"/>
      <c r="E30" s="86"/>
      <c r="F30" s="86"/>
      <c r="G30" s="86"/>
      <c r="H30" s="86"/>
      <c r="I30" s="86"/>
      <c r="J30" s="86"/>
      <c r="K30" s="86"/>
      <c r="L30" s="86">
        <v>144.021</v>
      </c>
      <c r="M30" s="86"/>
      <c r="N30" s="86"/>
      <c r="O30" s="86"/>
      <c r="P30" s="86"/>
      <c r="Q30" s="86"/>
      <c r="R30" s="86">
        <v>30.915</v>
      </c>
      <c r="S30" s="86"/>
      <c r="T30" s="86">
        <v>15.342</v>
      </c>
      <c r="U30" s="86"/>
      <c r="V30" s="86">
        <v>19.618</v>
      </c>
      <c r="W30" s="86"/>
      <c r="X30" s="86"/>
      <c r="Y30" s="113"/>
      <c r="Z30" s="113"/>
      <c r="AA30" s="81">
        <f>SUM(D30:Z30)</f>
        <v>209.896</v>
      </c>
      <c r="AB30" s="104">
        <f t="shared" si="4"/>
        <v>-790.104</v>
      </c>
      <c r="AE30" s="111"/>
    </row>
    <row r="31" spans="1:40" s="66" customFormat="1" ht="27.75">
      <c r="A31" s="66" t="s">
        <v>37</v>
      </c>
      <c r="B31" s="105" t="s">
        <v>38</v>
      </c>
      <c r="C31" s="106">
        <v>36.153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>
        <v>1.853</v>
      </c>
      <c r="N31" s="106"/>
      <c r="O31" s="106"/>
      <c r="P31" s="106">
        <v>0.783</v>
      </c>
      <c r="Q31" s="106">
        <v>2.715</v>
      </c>
      <c r="R31" s="106"/>
      <c r="S31" s="114"/>
      <c r="T31" s="114"/>
      <c r="U31" s="114"/>
      <c r="V31" s="114"/>
      <c r="W31" s="114"/>
      <c r="X31" s="106"/>
      <c r="Y31" s="106"/>
      <c r="Z31" s="106"/>
      <c r="AA31" s="106">
        <f>SUM(D31:Z31)</f>
        <v>5.351</v>
      </c>
      <c r="AB31" s="104">
        <f t="shared" si="4"/>
        <v>-30.802</v>
      </c>
      <c r="AD31" s="72"/>
      <c r="AE31" s="111"/>
      <c r="AF31" s="67"/>
      <c r="AG31" s="68"/>
      <c r="AH31" s="68"/>
      <c r="AI31" s="68"/>
      <c r="AJ31" s="68"/>
      <c r="AK31" s="68"/>
      <c r="AL31" s="68"/>
      <c r="AM31" s="68"/>
      <c r="AN31" s="68"/>
    </row>
    <row r="32" spans="2:40" s="66" customFormat="1" ht="42">
      <c r="B32" s="105" t="s">
        <v>39</v>
      </c>
      <c r="C32" s="106">
        <v>220</v>
      </c>
      <c r="D32" s="106"/>
      <c r="E32" s="106"/>
      <c r="F32" s="106"/>
      <c r="G32" s="106"/>
      <c r="H32" s="106"/>
      <c r="I32" s="106"/>
      <c r="J32" s="106"/>
      <c r="K32" s="106"/>
      <c r="L32" s="106">
        <v>215.945</v>
      </c>
      <c r="M32" s="106"/>
      <c r="N32" s="106"/>
      <c r="O32" s="106"/>
      <c r="P32" s="106"/>
      <c r="Q32" s="106"/>
      <c r="R32" s="106"/>
      <c r="S32" s="106"/>
      <c r="T32" s="114"/>
      <c r="U32" s="106"/>
      <c r="V32" s="106"/>
      <c r="W32" s="106"/>
      <c r="X32" s="106"/>
      <c r="Y32" s="106"/>
      <c r="Z32" s="106"/>
      <c r="AA32" s="106">
        <f>SUM(D32:Z32)</f>
        <v>215.945</v>
      </c>
      <c r="AB32" s="104">
        <f t="shared" si="4"/>
        <v>-4.055000000000007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2" hidden="1">
      <c r="B33" s="105" t="s">
        <v>41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>
        <f>SUM(D33:Z33)</f>
        <v>0</v>
      </c>
      <c r="AB33" s="104">
        <f t="shared" si="4"/>
        <v>0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15">
      <c r="B34" s="105" t="s">
        <v>42</v>
      </c>
      <c r="C34" s="106">
        <f>SUM(C35:C39)</f>
        <v>557.9300000000001</v>
      </c>
      <c r="D34" s="106">
        <f>SUM(D35:D39)</f>
        <v>0</v>
      </c>
      <c r="E34" s="106">
        <f>SUM(E35:E39)</f>
        <v>0</v>
      </c>
      <c r="F34" s="106">
        <f>SUM(F35:F39)</f>
        <v>0</v>
      </c>
      <c r="G34" s="106">
        <f aca="true" t="shared" si="8" ref="G34:S34">SUM(G35:G39)</f>
        <v>0</v>
      </c>
      <c r="H34" s="106">
        <f t="shared" si="8"/>
        <v>0</v>
      </c>
      <c r="I34" s="106">
        <f t="shared" si="8"/>
        <v>0</v>
      </c>
      <c r="J34" s="106">
        <f t="shared" si="8"/>
        <v>0</v>
      </c>
      <c r="K34" s="106">
        <f t="shared" si="8"/>
        <v>0</v>
      </c>
      <c r="L34" s="106">
        <f t="shared" si="8"/>
        <v>143.698</v>
      </c>
      <c r="M34" s="106">
        <f t="shared" si="8"/>
        <v>0</v>
      </c>
      <c r="N34" s="106">
        <f t="shared" si="8"/>
        <v>0</v>
      </c>
      <c r="O34" s="106">
        <f t="shared" si="8"/>
        <v>0</v>
      </c>
      <c r="P34" s="106">
        <f t="shared" si="8"/>
        <v>0</v>
      </c>
      <c r="Q34" s="106">
        <f t="shared" si="8"/>
        <v>0</v>
      </c>
      <c r="R34" s="106">
        <f t="shared" si="8"/>
        <v>0</v>
      </c>
      <c r="S34" s="106">
        <f t="shared" si="8"/>
        <v>0</v>
      </c>
      <c r="T34" s="106">
        <f>SUM(T35:T39)</f>
        <v>354.456</v>
      </c>
      <c r="U34" s="106">
        <f>SUM(U35:U39)</f>
        <v>4.804</v>
      </c>
      <c r="V34" s="106">
        <f aca="true" t="shared" si="9" ref="V34:AA34">SUM(V35:V39)</f>
        <v>0</v>
      </c>
      <c r="W34" s="106">
        <f t="shared" si="9"/>
        <v>0</v>
      </c>
      <c r="X34" s="106">
        <f t="shared" si="9"/>
        <v>0</v>
      </c>
      <c r="Y34" s="106">
        <f t="shared" si="9"/>
        <v>0</v>
      </c>
      <c r="Z34" s="106">
        <f>SUM(Z35:Z39)</f>
        <v>0</v>
      </c>
      <c r="AA34" s="106">
        <f t="shared" si="9"/>
        <v>502.958</v>
      </c>
      <c r="AB34" s="104">
        <f t="shared" si="4"/>
        <v>-54.97200000000004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">
      <c r="B35" s="107" t="s">
        <v>20</v>
      </c>
      <c r="C35" s="108">
        <v>502.1</v>
      </c>
      <c r="D35" s="81"/>
      <c r="E35" s="81"/>
      <c r="F35" s="81"/>
      <c r="G35" s="81"/>
      <c r="H35" s="81"/>
      <c r="I35" s="81"/>
      <c r="J35" s="86"/>
      <c r="K35" s="81"/>
      <c r="L35" s="81">
        <v>143.698</v>
      </c>
      <c r="M35" s="81"/>
      <c r="N35" s="81"/>
      <c r="O35" s="81"/>
      <c r="P35" s="110"/>
      <c r="Q35" s="81"/>
      <c r="R35" s="110"/>
      <c r="S35" s="81"/>
      <c r="T35" s="81">
        <v>354.456</v>
      </c>
      <c r="U35" s="81"/>
      <c r="V35" s="86"/>
      <c r="W35" s="86"/>
      <c r="X35" s="81"/>
      <c r="Y35" s="81"/>
      <c r="Z35" s="81"/>
      <c r="AA35" s="81">
        <f>SUM(D35:Z35)</f>
        <v>498.154</v>
      </c>
      <c r="AB35" s="104">
        <f t="shared" si="4"/>
        <v>-3.9460000000000264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">
      <c r="B36" s="107" t="s">
        <v>29</v>
      </c>
      <c r="C36" s="108">
        <v>1.8</v>
      </c>
      <c r="D36" s="81"/>
      <c r="E36" s="81"/>
      <c r="F36" s="81"/>
      <c r="G36" s="81"/>
      <c r="H36" s="81"/>
      <c r="I36" s="81"/>
      <c r="J36" s="86"/>
      <c r="K36" s="81"/>
      <c r="L36" s="81"/>
      <c r="M36" s="81"/>
      <c r="N36" s="81"/>
      <c r="O36" s="81"/>
      <c r="P36" s="110"/>
      <c r="Q36" s="81"/>
      <c r="R36" s="110"/>
      <c r="S36" s="81"/>
      <c r="T36" s="81"/>
      <c r="U36" s="81"/>
      <c r="V36" s="86"/>
      <c r="W36" s="86"/>
      <c r="X36" s="81"/>
      <c r="Y36" s="81"/>
      <c r="Z36" s="81"/>
      <c r="AA36" s="81">
        <f>SUM(D36:Z36)</f>
        <v>0</v>
      </c>
      <c r="AB36" s="104">
        <f t="shared" si="4"/>
        <v>-1.8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">
      <c r="B37" s="107" t="s">
        <v>31</v>
      </c>
      <c r="C37" s="108">
        <v>3.3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>
        <v>3.3</v>
      </c>
      <c r="V37" s="86"/>
      <c r="W37" s="86"/>
      <c r="X37" s="81"/>
      <c r="Y37" s="81"/>
      <c r="Z37" s="81"/>
      <c r="AA37" s="81">
        <f>SUM(D37:Z37)</f>
        <v>3.3</v>
      </c>
      <c r="AB37" s="104">
        <f t="shared" si="4"/>
        <v>0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">
      <c r="B38" s="107" t="s">
        <v>22</v>
      </c>
      <c r="C38" s="108">
        <v>45.6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/>
      <c r="R38" s="110"/>
      <c r="S38" s="81"/>
      <c r="T38" s="81"/>
      <c r="U38" s="81">
        <v>0.894</v>
      </c>
      <c r="V38" s="86"/>
      <c r="W38" s="86"/>
      <c r="X38" s="81"/>
      <c r="Y38" s="81"/>
      <c r="Z38" s="81"/>
      <c r="AA38" s="81">
        <f>SUM(D38:Z38)</f>
        <v>0.894</v>
      </c>
      <c r="AB38" s="104">
        <f t="shared" si="4"/>
        <v>-44.706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">
      <c r="B39" s="107" t="s">
        <v>24</v>
      </c>
      <c r="C39" s="108">
        <v>5.13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>
        <v>0.61</v>
      </c>
      <c r="V39" s="81"/>
      <c r="W39" s="81"/>
      <c r="X39" s="81"/>
      <c r="Y39" s="81"/>
      <c r="Z39" s="81"/>
      <c r="AA39" s="81">
        <f>SUM(D39:Z39)</f>
        <v>0.61</v>
      </c>
      <c r="AB39" s="104">
        <f t="shared" si="4"/>
        <v>-4.52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">
      <c r="B40" s="105" t="s">
        <v>43</v>
      </c>
      <c r="C40" s="106">
        <f aca="true" t="shared" si="10" ref="C40:S40">SUM(C41:C43)</f>
        <v>169.20000000000002</v>
      </c>
      <c r="D40" s="106">
        <f t="shared" si="10"/>
        <v>0</v>
      </c>
      <c r="E40" s="106">
        <f t="shared" si="10"/>
        <v>0</v>
      </c>
      <c r="F40" s="106">
        <f t="shared" si="10"/>
        <v>0</v>
      </c>
      <c r="G40" s="106">
        <f t="shared" si="10"/>
        <v>0</v>
      </c>
      <c r="H40" s="106">
        <f t="shared" si="10"/>
        <v>0</v>
      </c>
      <c r="I40" s="106">
        <f t="shared" si="10"/>
        <v>0</v>
      </c>
      <c r="J40" s="106">
        <f t="shared" si="10"/>
        <v>0</v>
      </c>
      <c r="K40" s="106">
        <f t="shared" si="10"/>
        <v>0</v>
      </c>
      <c r="L40" s="106">
        <f t="shared" si="10"/>
        <v>0</v>
      </c>
      <c r="M40" s="106">
        <f t="shared" si="10"/>
        <v>0.58</v>
      </c>
      <c r="N40" s="106">
        <f t="shared" si="10"/>
        <v>0</v>
      </c>
      <c r="O40" s="106">
        <f t="shared" si="10"/>
        <v>37.165</v>
      </c>
      <c r="P40" s="106">
        <f t="shared" si="10"/>
        <v>0</v>
      </c>
      <c r="Q40" s="106">
        <f t="shared" si="10"/>
        <v>0</v>
      </c>
      <c r="R40" s="106">
        <f t="shared" si="10"/>
        <v>0</v>
      </c>
      <c r="S40" s="106">
        <f t="shared" si="10"/>
        <v>0</v>
      </c>
      <c r="T40" s="106">
        <f>SUM(T41:T43)</f>
        <v>0</v>
      </c>
      <c r="U40" s="106">
        <f>SUM(U41:U43)</f>
        <v>82.361</v>
      </c>
      <c r="V40" s="106">
        <f aca="true" t="shared" si="11" ref="V40:AA40">SUM(V41:V43)</f>
        <v>0</v>
      </c>
      <c r="W40" s="106">
        <f t="shared" si="11"/>
        <v>0</v>
      </c>
      <c r="X40" s="106">
        <f t="shared" si="11"/>
        <v>0</v>
      </c>
      <c r="Y40" s="106">
        <f t="shared" si="11"/>
        <v>0</v>
      </c>
      <c r="Z40" s="106">
        <f>SUM(Z41:Z43)</f>
        <v>0</v>
      </c>
      <c r="AA40" s="106">
        <f t="shared" si="11"/>
        <v>120.10600000000001</v>
      </c>
      <c r="AB40" s="104">
        <f t="shared" si="4"/>
        <v>-49.09400000000001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">
      <c r="B41" s="107" t="s">
        <v>20</v>
      </c>
      <c r="C41" s="108">
        <v>145</v>
      </c>
      <c r="D41" s="81"/>
      <c r="E41" s="81"/>
      <c r="F41" s="81"/>
      <c r="G41" s="81"/>
      <c r="H41" s="81"/>
      <c r="I41" s="81"/>
      <c r="J41" s="86"/>
      <c r="K41" s="81"/>
      <c r="L41" s="81"/>
      <c r="M41" s="81"/>
      <c r="N41" s="81"/>
      <c r="O41" s="81">
        <v>37.165</v>
      </c>
      <c r="P41" s="110"/>
      <c r="Q41" s="81"/>
      <c r="R41" s="110"/>
      <c r="S41" s="81"/>
      <c r="T41" s="81"/>
      <c r="U41" s="81">
        <v>80.146</v>
      </c>
      <c r="V41" s="86"/>
      <c r="W41" s="86"/>
      <c r="X41" s="81"/>
      <c r="Y41" s="81"/>
      <c r="Z41" s="81"/>
      <c r="AA41" s="81">
        <f>SUM(D41:Z41)</f>
        <v>117.311</v>
      </c>
      <c r="AB41" s="104">
        <f t="shared" si="4"/>
        <v>-27.688999999999993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">
      <c r="B42" s="107" t="s">
        <v>22</v>
      </c>
      <c r="C42" s="108">
        <v>16.9</v>
      </c>
      <c r="D42" s="81"/>
      <c r="E42" s="81"/>
      <c r="F42" s="81"/>
      <c r="G42" s="81"/>
      <c r="H42" s="81"/>
      <c r="I42" s="81"/>
      <c r="J42" s="86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>
        <v>0.275</v>
      </c>
      <c r="V42" s="86"/>
      <c r="W42" s="86"/>
      <c r="X42" s="81"/>
      <c r="Y42" s="81"/>
      <c r="Z42" s="81"/>
      <c r="AA42" s="81">
        <f>SUM(D42:Z42)</f>
        <v>0.275</v>
      </c>
      <c r="AB42" s="104">
        <f t="shared" si="4"/>
        <v>-16.625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">
      <c r="B43" s="107" t="s">
        <v>24</v>
      </c>
      <c r="C43" s="108">
        <v>7.3</v>
      </c>
      <c r="D43" s="81"/>
      <c r="E43" s="81"/>
      <c r="F43" s="81"/>
      <c r="G43" s="81"/>
      <c r="H43" s="81"/>
      <c r="I43" s="81"/>
      <c r="J43" s="81"/>
      <c r="K43" s="81"/>
      <c r="L43" s="81"/>
      <c r="M43" s="81">
        <v>0.58</v>
      </c>
      <c r="N43" s="81"/>
      <c r="O43" s="81"/>
      <c r="P43" s="81"/>
      <c r="Q43" s="81"/>
      <c r="R43" s="81"/>
      <c r="S43" s="81"/>
      <c r="T43" s="81"/>
      <c r="U43" s="81">
        <v>1.94</v>
      </c>
      <c r="V43" s="81"/>
      <c r="W43" s="81"/>
      <c r="X43" s="81"/>
      <c r="Y43" s="81"/>
      <c r="Z43" s="81"/>
      <c r="AA43" s="81">
        <f>SUM(D43:Z43)</f>
        <v>2.52</v>
      </c>
      <c r="AB43" s="104">
        <f t="shared" si="4"/>
        <v>-4.779999999999999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">
      <c r="B44" s="105" t="s">
        <v>44</v>
      </c>
      <c r="C44" s="106">
        <f aca="true" t="shared" si="12" ref="C44:Y44">SUM(C45:C47)</f>
        <v>103.9</v>
      </c>
      <c r="D44" s="106">
        <f t="shared" si="12"/>
        <v>0</v>
      </c>
      <c r="E44" s="106">
        <f t="shared" si="12"/>
        <v>0</v>
      </c>
      <c r="F44" s="106">
        <f t="shared" si="12"/>
        <v>0</v>
      </c>
      <c r="G44" s="106">
        <f t="shared" si="12"/>
        <v>0</v>
      </c>
      <c r="H44" s="106">
        <f t="shared" si="12"/>
        <v>0</v>
      </c>
      <c r="I44" s="106">
        <f t="shared" si="12"/>
        <v>0</v>
      </c>
      <c r="J44" s="106">
        <f t="shared" si="12"/>
        <v>0</v>
      </c>
      <c r="K44" s="106">
        <f t="shared" si="12"/>
        <v>0</v>
      </c>
      <c r="L44" s="106">
        <f t="shared" si="12"/>
        <v>0</v>
      </c>
      <c r="M44" s="106">
        <f t="shared" si="12"/>
        <v>33.471</v>
      </c>
      <c r="N44" s="106">
        <f t="shared" si="12"/>
        <v>0</v>
      </c>
      <c r="O44" s="106">
        <f t="shared" si="12"/>
        <v>0</v>
      </c>
      <c r="P44" s="106">
        <f t="shared" si="12"/>
        <v>0</v>
      </c>
      <c r="Q44" s="106">
        <f t="shared" si="12"/>
        <v>0</v>
      </c>
      <c r="R44" s="106">
        <f t="shared" si="12"/>
        <v>41.597</v>
      </c>
      <c r="S44" s="106">
        <f t="shared" si="12"/>
        <v>0</v>
      </c>
      <c r="T44" s="106">
        <f>SUM(T45:T47)</f>
        <v>0.58</v>
      </c>
      <c r="U44" s="106">
        <f t="shared" si="12"/>
        <v>0</v>
      </c>
      <c r="V44" s="106">
        <f t="shared" si="12"/>
        <v>0</v>
      </c>
      <c r="W44" s="106">
        <f t="shared" si="12"/>
        <v>0</v>
      </c>
      <c r="X44" s="106">
        <f t="shared" si="12"/>
        <v>0</v>
      </c>
      <c r="Y44" s="106">
        <f t="shared" si="12"/>
        <v>0</v>
      </c>
      <c r="Z44" s="106">
        <f>SUM(Z45:Z47)</f>
        <v>0</v>
      </c>
      <c r="AA44" s="106">
        <f>SUM(D44:Y44)</f>
        <v>75.648</v>
      </c>
      <c r="AB44" s="104">
        <f t="shared" si="4"/>
        <v>-28.25200000000001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">
      <c r="B45" s="107" t="s">
        <v>20</v>
      </c>
      <c r="C45" s="108">
        <v>97.7</v>
      </c>
      <c r="D45" s="81"/>
      <c r="E45" s="81"/>
      <c r="F45" s="81"/>
      <c r="G45" s="81"/>
      <c r="H45" s="81"/>
      <c r="I45" s="81"/>
      <c r="J45" s="86"/>
      <c r="K45" s="81"/>
      <c r="L45" s="81"/>
      <c r="M45" s="81">
        <v>33.471</v>
      </c>
      <c r="N45" s="81"/>
      <c r="O45" s="81"/>
      <c r="P45" s="81"/>
      <c r="Q45" s="81"/>
      <c r="R45" s="110">
        <v>41.597</v>
      </c>
      <c r="S45" s="81"/>
      <c r="T45" s="81"/>
      <c r="U45" s="81"/>
      <c r="V45" s="86"/>
      <c r="W45" s="86"/>
      <c r="X45" s="86"/>
      <c r="Y45" s="86"/>
      <c r="Z45" s="86"/>
      <c r="AA45" s="81">
        <f>SUM(D45:Z45)</f>
        <v>75.068</v>
      </c>
      <c r="AB45" s="104">
        <f t="shared" si="4"/>
        <v>-22.632000000000005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">
      <c r="B46" s="107" t="s">
        <v>22</v>
      </c>
      <c r="C46" s="108">
        <f>6.2-0.58</f>
        <v>5.62</v>
      </c>
      <c r="D46" s="81"/>
      <c r="E46" s="81"/>
      <c r="F46" s="81"/>
      <c r="G46" s="81"/>
      <c r="H46" s="81"/>
      <c r="I46" s="81"/>
      <c r="J46" s="86"/>
      <c r="K46" s="81"/>
      <c r="L46" s="81"/>
      <c r="M46" s="81"/>
      <c r="N46" s="81"/>
      <c r="O46" s="81"/>
      <c r="P46" s="110"/>
      <c r="Q46" s="81"/>
      <c r="R46" s="110"/>
      <c r="S46" s="81"/>
      <c r="T46" s="81"/>
      <c r="U46" s="81"/>
      <c r="V46" s="86"/>
      <c r="W46" s="81"/>
      <c r="X46" s="86"/>
      <c r="Y46" s="86"/>
      <c r="Z46" s="86"/>
      <c r="AA46" s="81">
        <f>SUM(D46:Z46)</f>
        <v>0</v>
      </c>
      <c r="AB46" s="104">
        <f t="shared" si="4"/>
        <v>-5.62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">
      <c r="B47" s="107" t="s">
        <v>24</v>
      </c>
      <c r="C47" s="108">
        <f>0+0.58</f>
        <v>0.58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>
        <v>0.58</v>
      </c>
      <c r="U47" s="81"/>
      <c r="V47" s="81"/>
      <c r="W47" s="81"/>
      <c r="X47" s="81"/>
      <c r="Y47" s="81"/>
      <c r="Z47" s="81"/>
      <c r="AA47" s="81">
        <f>SUM(D47:Z47)</f>
        <v>0.58</v>
      </c>
      <c r="AB47" s="104">
        <f t="shared" si="4"/>
        <v>0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1:40" s="66" customFormat="1" ht="15" hidden="1">
      <c r="A48" s="66">
        <v>90501</v>
      </c>
      <c r="B48" s="105" t="s">
        <v>45</v>
      </c>
      <c r="C48" s="106">
        <f>C49+C50</f>
        <v>0</v>
      </c>
      <c r="D48" s="106">
        <f aca="true" t="shared" si="13" ref="D48:Y48">D49+D50</f>
        <v>0</v>
      </c>
      <c r="E48" s="106">
        <f t="shared" si="13"/>
        <v>0</v>
      </c>
      <c r="F48" s="106">
        <f t="shared" si="13"/>
        <v>0</v>
      </c>
      <c r="G48" s="106">
        <f t="shared" si="13"/>
        <v>0</v>
      </c>
      <c r="H48" s="106">
        <f t="shared" si="13"/>
        <v>0</v>
      </c>
      <c r="I48" s="106">
        <f t="shared" si="13"/>
        <v>0</v>
      </c>
      <c r="J48" s="106">
        <f t="shared" si="13"/>
        <v>0</v>
      </c>
      <c r="K48" s="106">
        <f t="shared" si="13"/>
        <v>0</v>
      </c>
      <c r="L48" s="106">
        <f t="shared" si="13"/>
        <v>0</v>
      </c>
      <c r="M48" s="106">
        <f t="shared" si="13"/>
        <v>0</v>
      </c>
      <c r="N48" s="106">
        <f t="shared" si="13"/>
        <v>0</v>
      </c>
      <c r="O48" s="106">
        <f t="shared" si="13"/>
        <v>0</v>
      </c>
      <c r="P48" s="106">
        <f t="shared" si="13"/>
        <v>0</v>
      </c>
      <c r="Q48" s="106">
        <f t="shared" si="13"/>
        <v>0</v>
      </c>
      <c r="R48" s="106">
        <f t="shared" si="13"/>
        <v>0</v>
      </c>
      <c r="S48" s="106">
        <f t="shared" si="13"/>
        <v>0</v>
      </c>
      <c r="T48" s="106">
        <f>T49+T50</f>
        <v>0</v>
      </c>
      <c r="U48" s="106">
        <f>U49+U50</f>
        <v>0</v>
      </c>
      <c r="V48" s="106">
        <f t="shared" si="13"/>
        <v>0</v>
      </c>
      <c r="W48" s="106">
        <f t="shared" si="13"/>
        <v>0</v>
      </c>
      <c r="X48" s="106">
        <f t="shared" si="13"/>
        <v>0</v>
      </c>
      <c r="Y48" s="106">
        <f t="shared" si="13"/>
        <v>0</v>
      </c>
      <c r="Z48" s="106">
        <f>Z49+Z50</f>
        <v>0</v>
      </c>
      <c r="AA48" s="106">
        <f>SUM(D48:Y48)</f>
        <v>0</v>
      </c>
      <c r="AB48" s="104">
        <f t="shared" si="4"/>
        <v>0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2:40" s="115" customFormat="1" ht="15" hidden="1">
      <c r="B49" s="107" t="s">
        <v>20</v>
      </c>
      <c r="C49" s="113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1">
        <f>SUM(D49:Z49)</f>
        <v>0</v>
      </c>
      <c r="AB49" s="104">
        <f t="shared" si="4"/>
        <v>0</v>
      </c>
      <c r="AD49" s="96"/>
      <c r="AE49" s="95"/>
      <c r="AF49" s="116"/>
      <c r="AG49" s="117"/>
      <c r="AH49" s="117"/>
      <c r="AI49" s="117"/>
      <c r="AJ49" s="117"/>
      <c r="AK49" s="117"/>
      <c r="AL49" s="117"/>
      <c r="AM49" s="117"/>
      <c r="AN49" s="117"/>
    </row>
    <row r="50" spans="2:40" s="115" customFormat="1" ht="15" hidden="1">
      <c r="B50" s="107" t="s">
        <v>35</v>
      </c>
      <c r="C50" s="113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1">
        <f>SUM(D50:Z50)</f>
        <v>0</v>
      </c>
      <c r="AB50" s="104">
        <f t="shared" si="4"/>
        <v>0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1:40" s="66" customFormat="1" ht="15">
      <c r="A51" s="66">
        <v>110000</v>
      </c>
      <c r="B51" s="105" t="s">
        <v>46</v>
      </c>
      <c r="C51" s="106">
        <f aca="true" t="shared" si="14" ref="C51:AA51">SUM(C52:C55)</f>
        <v>643.16</v>
      </c>
      <c r="D51" s="106">
        <f t="shared" si="14"/>
        <v>0</v>
      </c>
      <c r="E51" s="106">
        <f t="shared" si="14"/>
        <v>0</v>
      </c>
      <c r="F51" s="106">
        <f t="shared" si="14"/>
        <v>0</v>
      </c>
      <c r="G51" s="106">
        <f t="shared" si="14"/>
        <v>0</v>
      </c>
      <c r="H51" s="106">
        <f t="shared" si="14"/>
        <v>0</v>
      </c>
      <c r="I51" s="106">
        <f t="shared" si="14"/>
        <v>0</v>
      </c>
      <c r="J51" s="106">
        <f t="shared" si="14"/>
        <v>0</v>
      </c>
      <c r="K51" s="106">
        <f t="shared" si="14"/>
        <v>0</v>
      </c>
      <c r="L51" s="106">
        <f t="shared" si="14"/>
        <v>133.816</v>
      </c>
      <c r="M51" s="106">
        <f t="shared" si="14"/>
        <v>0</v>
      </c>
      <c r="N51" s="106">
        <f t="shared" si="14"/>
        <v>0</v>
      </c>
      <c r="O51" s="106">
        <f t="shared" si="14"/>
        <v>0</v>
      </c>
      <c r="P51" s="106">
        <f t="shared" si="14"/>
        <v>0.5</v>
      </c>
      <c r="Q51" s="106">
        <f t="shared" si="14"/>
        <v>0</v>
      </c>
      <c r="R51" s="106">
        <f t="shared" si="14"/>
        <v>0</v>
      </c>
      <c r="S51" s="106">
        <f t="shared" si="14"/>
        <v>113.171</v>
      </c>
      <c r="T51" s="106">
        <f>SUM(T52:T55)</f>
        <v>33.529</v>
      </c>
      <c r="U51" s="106">
        <f t="shared" si="14"/>
        <v>155.337</v>
      </c>
      <c r="V51" s="106">
        <f t="shared" si="14"/>
        <v>0</v>
      </c>
      <c r="W51" s="106">
        <f t="shared" si="14"/>
        <v>0</v>
      </c>
      <c r="X51" s="106">
        <f t="shared" si="14"/>
        <v>0</v>
      </c>
      <c r="Y51" s="106">
        <f t="shared" si="14"/>
        <v>0</v>
      </c>
      <c r="Z51" s="106">
        <f>SUM(Z52:Z55)</f>
        <v>0</v>
      </c>
      <c r="AA51" s="106">
        <f t="shared" si="14"/>
        <v>436.353</v>
      </c>
      <c r="AB51" s="104">
        <f t="shared" si="4"/>
        <v>-206.80699999999996</v>
      </c>
      <c r="AC51" s="69"/>
      <c r="AD51" s="67"/>
      <c r="AE51" s="67"/>
      <c r="AF51" s="67"/>
      <c r="AG51" s="68"/>
      <c r="AH51" s="68"/>
      <c r="AI51" s="68"/>
      <c r="AJ51" s="68"/>
      <c r="AK51" s="68"/>
      <c r="AL51" s="68"/>
      <c r="AM51" s="68"/>
      <c r="AN51" s="68"/>
    </row>
    <row r="52" spans="2:28" ht="15">
      <c r="B52" s="107" t="s">
        <v>20</v>
      </c>
      <c r="C52" s="108">
        <v>458.5</v>
      </c>
      <c r="D52" s="81"/>
      <c r="E52" s="81"/>
      <c r="F52" s="81"/>
      <c r="G52" s="81"/>
      <c r="H52" s="81"/>
      <c r="I52" s="81"/>
      <c r="J52" s="86"/>
      <c r="K52" s="81"/>
      <c r="L52" s="81">
        <v>133.816</v>
      </c>
      <c r="M52" s="81"/>
      <c r="N52" s="81"/>
      <c r="O52" s="81"/>
      <c r="P52" s="110"/>
      <c r="Q52" s="81"/>
      <c r="R52" s="110"/>
      <c r="S52" s="81">
        <v>113.171</v>
      </c>
      <c r="T52" s="81">
        <v>33.529</v>
      </c>
      <c r="U52" s="81">
        <v>154.258</v>
      </c>
      <c r="V52" s="86"/>
      <c r="W52" s="86"/>
      <c r="X52" s="86"/>
      <c r="Y52" s="81"/>
      <c r="Z52" s="81"/>
      <c r="AA52" s="81">
        <f>SUM(D52:Z52)</f>
        <v>434.774</v>
      </c>
      <c r="AB52" s="104">
        <f t="shared" si="4"/>
        <v>-23.726</v>
      </c>
    </row>
    <row r="53" spans="2:28" ht="15">
      <c r="B53" s="107" t="s">
        <v>22</v>
      </c>
      <c r="C53" s="108">
        <f>178.04-2.72</f>
        <v>175.32</v>
      </c>
      <c r="D53" s="81"/>
      <c r="E53" s="81"/>
      <c r="F53" s="81"/>
      <c r="G53" s="81"/>
      <c r="H53" s="81"/>
      <c r="I53" s="81"/>
      <c r="J53" s="86"/>
      <c r="K53" s="81"/>
      <c r="L53" s="81"/>
      <c r="M53" s="81"/>
      <c r="N53" s="81"/>
      <c r="O53" s="81"/>
      <c r="P53" s="110"/>
      <c r="Q53" s="81"/>
      <c r="R53" s="110"/>
      <c r="S53" s="81"/>
      <c r="T53" s="81"/>
      <c r="U53" s="81">
        <v>0.248</v>
      </c>
      <c r="V53" s="86"/>
      <c r="W53" s="86"/>
      <c r="X53" s="86"/>
      <c r="Y53" s="81"/>
      <c r="Z53" s="81"/>
      <c r="AA53" s="81">
        <f>SUM(D53:Z53)</f>
        <v>0.248</v>
      </c>
      <c r="AB53" s="104">
        <f t="shared" si="4"/>
        <v>-175.072</v>
      </c>
    </row>
    <row r="54" spans="2:28" ht="15">
      <c r="B54" s="107" t="s">
        <v>47</v>
      </c>
      <c r="C54" s="108">
        <v>0.4</v>
      </c>
      <c r="D54" s="81"/>
      <c r="E54" s="81"/>
      <c r="F54" s="81"/>
      <c r="G54" s="81"/>
      <c r="H54" s="81"/>
      <c r="I54" s="81"/>
      <c r="J54" s="86"/>
      <c r="K54" s="81"/>
      <c r="L54" s="81"/>
      <c r="M54" s="81"/>
      <c r="N54" s="81"/>
      <c r="O54" s="81"/>
      <c r="P54" s="110"/>
      <c r="Q54" s="81"/>
      <c r="R54" s="110"/>
      <c r="S54" s="81"/>
      <c r="T54" s="81"/>
      <c r="U54" s="81">
        <v>0.38</v>
      </c>
      <c r="V54" s="86"/>
      <c r="W54" s="86"/>
      <c r="X54" s="86"/>
      <c r="Y54" s="81"/>
      <c r="Z54" s="81"/>
      <c r="AA54" s="81">
        <f>SUM(D54:Z54)</f>
        <v>0.38</v>
      </c>
      <c r="AB54" s="104">
        <f t="shared" si="4"/>
        <v>-0.020000000000000018</v>
      </c>
    </row>
    <row r="55" spans="2:29" ht="15">
      <c r="B55" s="107" t="s">
        <v>24</v>
      </c>
      <c r="C55" s="108">
        <v>8.94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>
        <v>0.5</v>
      </c>
      <c r="Q55" s="81"/>
      <c r="R55" s="81"/>
      <c r="S55" s="81"/>
      <c r="T55" s="81"/>
      <c r="U55" s="81">
        <v>0.451</v>
      </c>
      <c r="V55" s="81"/>
      <c r="W55" s="81"/>
      <c r="X55" s="81"/>
      <c r="Y55" s="81"/>
      <c r="Z55" s="81"/>
      <c r="AA55" s="81">
        <f>SUM(D55:Z55)</f>
        <v>0.9510000000000001</v>
      </c>
      <c r="AB55" s="104">
        <f t="shared" si="4"/>
        <v>-7.988999999999999</v>
      </c>
      <c r="AC55" s="66"/>
    </row>
    <row r="56" spans="1:40" s="66" customFormat="1" ht="15">
      <c r="A56" s="66">
        <v>130000</v>
      </c>
      <c r="B56" s="105" t="s">
        <v>48</v>
      </c>
      <c r="C56" s="106">
        <f>SUM(C57:C61)</f>
        <v>445.47</v>
      </c>
      <c r="D56" s="106">
        <f aca="true" t="shared" si="15" ref="D56:AA56">SUM(D57:D61)</f>
        <v>0</v>
      </c>
      <c r="E56" s="106">
        <f t="shared" si="15"/>
        <v>0</v>
      </c>
      <c r="F56" s="106">
        <f t="shared" si="15"/>
        <v>0</v>
      </c>
      <c r="G56" s="106">
        <f t="shared" si="15"/>
        <v>0</v>
      </c>
      <c r="H56" s="106">
        <f t="shared" si="15"/>
        <v>0</v>
      </c>
      <c r="I56" s="106">
        <f t="shared" si="15"/>
        <v>0</v>
      </c>
      <c r="J56" s="106">
        <f t="shared" si="15"/>
        <v>0</v>
      </c>
      <c r="K56" s="106">
        <f t="shared" si="15"/>
        <v>93.226</v>
      </c>
      <c r="L56" s="106">
        <f t="shared" si="15"/>
        <v>0</v>
      </c>
      <c r="M56" s="106">
        <f t="shared" si="15"/>
        <v>0</v>
      </c>
      <c r="N56" s="106">
        <f t="shared" si="15"/>
        <v>0</v>
      </c>
      <c r="O56" s="106">
        <f t="shared" si="15"/>
        <v>0</v>
      </c>
      <c r="P56" s="106">
        <f t="shared" si="15"/>
        <v>0</v>
      </c>
      <c r="Q56" s="106">
        <f t="shared" si="15"/>
        <v>0</v>
      </c>
      <c r="R56" s="106">
        <f t="shared" si="15"/>
        <v>14.227</v>
      </c>
      <c r="S56" s="106">
        <f t="shared" si="15"/>
        <v>0</v>
      </c>
      <c r="T56" s="106">
        <f>SUM(T57:T61)</f>
        <v>11.383</v>
      </c>
      <c r="U56" s="106">
        <f>SUM(U57:U61)</f>
        <v>170.12</v>
      </c>
      <c r="V56" s="106">
        <f t="shared" si="15"/>
        <v>0</v>
      </c>
      <c r="W56" s="106">
        <f t="shared" si="15"/>
        <v>0</v>
      </c>
      <c r="X56" s="106">
        <f t="shared" si="15"/>
        <v>0</v>
      </c>
      <c r="Y56" s="106">
        <f t="shared" si="15"/>
        <v>0</v>
      </c>
      <c r="Z56" s="106">
        <f>SUM(Z57:Z61)</f>
        <v>0</v>
      </c>
      <c r="AA56" s="106">
        <f t="shared" si="15"/>
        <v>288.956</v>
      </c>
      <c r="AB56" s="104">
        <f t="shared" si="4"/>
        <v>-156.514</v>
      </c>
      <c r="AC56" s="69"/>
      <c r="AD56" s="67"/>
      <c r="AE56" s="67"/>
      <c r="AF56" s="67"/>
      <c r="AG56" s="68"/>
      <c r="AH56" s="68"/>
      <c r="AI56" s="68"/>
      <c r="AJ56" s="68"/>
      <c r="AK56" s="68"/>
      <c r="AL56" s="68"/>
      <c r="AM56" s="68"/>
      <c r="AN56" s="68"/>
    </row>
    <row r="57" spans="2:28" ht="15">
      <c r="B57" s="107" t="s">
        <v>20</v>
      </c>
      <c r="C57" s="108">
        <v>290</v>
      </c>
      <c r="D57" s="81"/>
      <c r="E57" s="81"/>
      <c r="F57" s="81"/>
      <c r="G57" s="81"/>
      <c r="H57" s="81"/>
      <c r="I57" s="81"/>
      <c r="J57" s="110"/>
      <c r="K57" s="81">
        <v>86.77</v>
      </c>
      <c r="L57" s="81"/>
      <c r="M57" s="81"/>
      <c r="N57" s="81"/>
      <c r="O57" s="81"/>
      <c r="P57" s="110"/>
      <c r="Q57" s="81"/>
      <c r="R57" s="110"/>
      <c r="S57" s="81"/>
      <c r="T57" s="81"/>
      <c r="U57" s="81">
        <v>163.697</v>
      </c>
      <c r="V57" s="86"/>
      <c r="W57" s="86"/>
      <c r="X57" s="81"/>
      <c r="Y57" s="81"/>
      <c r="Z57" s="81"/>
      <c r="AA57" s="81">
        <f>SUM(D57:Z57)</f>
        <v>250.46699999999998</v>
      </c>
      <c r="AB57" s="104">
        <f t="shared" si="4"/>
        <v>-39.533000000000015</v>
      </c>
    </row>
    <row r="58" spans="2:28" ht="15">
      <c r="B58" s="107" t="s">
        <v>29</v>
      </c>
      <c r="C58" s="108">
        <v>0</v>
      </c>
      <c r="D58" s="81"/>
      <c r="E58" s="81"/>
      <c r="F58" s="81"/>
      <c r="G58" s="81"/>
      <c r="H58" s="81"/>
      <c r="I58" s="81"/>
      <c r="J58" s="110"/>
      <c r="K58" s="81"/>
      <c r="L58" s="81"/>
      <c r="M58" s="81"/>
      <c r="N58" s="81"/>
      <c r="O58" s="81"/>
      <c r="P58" s="110"/>
      <c r="Q58" s="81"/>
      <c r="R58" s="110"/>
      <c r="S58" s="81"/>
      <c r="T58" s="81"/>
      <c r="U58" s="81"/>
      <c r="V58" s="86"/>
      <c r="W58" s="86"/>
      <c r="X58" s="81"/>
      <c r="Y58" s="81"/>
      <c r="Z58" s="81"/>
      <c r="AA58" s="81">
        <f>SUM(D58:Z58)</f>
        <v>0</v>
      </c>
      <c r="AB58" s="104">
        <f t="shared" si="4"/>
        <v>0</v>
      </c>
    </row>
    <row r="59" spans="2:28" ht="15">
      <c r="B59" s="107" t="s">
        <v>22</v>
      </c>
      <c r="C59" s="108">
        <v>72</v>
      </c>
      <c r="D59" s="81"/>
      <c r="E59" s="81"/>
      <c r="F59" s="81"/>
      <c r="G59" s="81"/>
      <c r="H59" s="81"/>
      <c r="I59" s="81"/>
      <c r="J59" s="86"/>
      <c r="K59" s="81"/>
      <c r="L59" s="81"/>
      <c r="M59" s="81"/>
      <c r="N59" s="81"/>
      <c r="O59" s="81"/>
      <c r="P59" s="110"/>
      <c r="Q59" s="81"/>
      <c r="R59" s="81"/>
      <c r="S59" s="81"/>
      <c r="T59" s="81"/>
      <c r="U59" s="81">
        <v>0.562</v>
      </c>
      <c r="V59" s="86"/>
      <c r="W59" s="86"/>
      <c r="X59" s="81"/>
      <c r="Y59" s="81"/>
      <c r="Z59" s="81"/>
      <c r="AA59" s="81">
        <f>SUM(D59:Z59)</f>
        <v>0.562</v>
      </c>
      <c r="AB59" s="104">
        <f t="shared" si="4"/>
        <v>-71.438</v>
      </c>
    </row>
    <row r="60" spans="2:28" ht="15">
      <c r="B60" s="107" t="s">
        <v>35</v>
      </c>
      <c r="C60" s="108">
        <v>28.8</v>
      </c>
      <c r="D60" s="81"/>
      <c r="E60" s="81"/>
      <c r="F60" s="81"/>
      <c r="G60" s="81"/>
      <c r="H60" s="81"/>
      <c r="I60" s="81"/>
      <c r="J60" s="86"/>
      <c r="K60" s="81">
        <v>6.456</v>
      </c>
      <c r="L60" s="81"/>
      <c r="M60" s="81"/>
      <c r="N60" s="81"/>
      <c r="O60" s="81"/>
      <c r="P60" s="81"/>
      <c r="Q60" s="81"/>
      <c r="R60" s="81">
        <v>14.227</v>
      </c>
      <c r="S60" s="81"/>
      <c r="T60" s="81"/>
      <c r="U60" s="81"/>
      <c r="V60" s="86"/>
      <c r="W60" s="81"/>
      <c r="X60" s="86"/>
      <c r="Y60" s="86"/>
      <c r="Z60" s="86"/>
      <c r="AA60" s="81">
        <f>SUM(D60:Z60)</f>
        <v>20.683</v>
      </c>
      <c r="AB60" s="104">
        <f t="shared" si="4"/>
        <v>-8.117</v>
      </c>
    </row>
    <row r="61" spans="2:28" ht="15">
      <c r="B61" s="107" t="s">
        <v>24</v>
      </c>
      <c r="C61" s="108">
        <v>54.67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>
        <v>11.383</v>
      </c>
      <c r="U61" s="81">
        <v>5.861</v>
      </c>
      <c r="V61" s="81"/>
      <c r="W61" s="81"/>
      <c r="X61" s="81"/>
      <c r="Y61" s="81"/>
      <c r="Z61" s="81"/>
      <c r="AA61" s="81">
        <f>SUM(D61:Z61)</f>
        <v>17.244</v>
      </c>
      <c r="AB61" s="104">
        <f t="shared" si="4"/>
        <v>-37.426</v>
      </c>
    </row>
    <row r="62" spans="2:28" ht="15">
      <c r="B62" s="105" t="s">
        <v>50</v>
      </c>
      <c r="C62" s="106">
        <f>C63+C64</f>
        <v>1487.303</v>
      </c>
      <c r="D62" s="106">
        <f aca="true" t="shared" si="16" ref="D62:AA62">D63+D64</f>
        <v>0</v>
      </c>
      <c r="E62" s="106">
        <f t="shared" si="16"/>
        <v>0</v>
      </c>
      <c r="F62" s="106">
        <f t="shared" si="16"/>
        <v>0</v>
      </c>
      <c r="G62" s="106">
        <f t="shared" si="16"/>
        <v>0</v>
      </c>
      <c r="H62" s="106">
        <f t="shared" si="16"/>
        <v>0</v>
      </c>
      <c r="I62" s="106">
        <f t="shared" si="16"/>
        <v>0</v>
      </c>
      <c r="J62" s="106">
        <f t="shared" si="16"/>
        <v>0</v>
      </c>
      <c r="K62" s="106">
        <f t="shared" si="16"/>
        <v>0</v>
      </c>
      <c r="L62" s="106">
        <f t="shared" si="16"/>
        <v>0</v>
      </c>
      <c r="M62" s="106">
        <f t="shared" si="16"/>
        <v>0</v>
      </c>
      <c r="N62" s="106">
        <f t="shared" si="16"/>
        <v>0</v>
      </c>
      <c r="O62" s="106">
        <f t="shared" si="16"/>
        <v>457</v>
      </c>
      <c r="P62" s="106">
        <f t="shared" si="16"/>
        <v>0</v>
      </c>
      <c r="Q62" s="106">
        <f t="shared" si="16"/>
        <v>0</v>
      </c>
      <c r="R62" s="106">
        <f t="shared" si="16"/>
        <v>12</v>
      </c>
      <c r="S62" s="106">
        <f t="shared" si="16"/>
        <v>0</v>
      </c>
      <c r="T62" s="106">
        <f>T63+T64</f>
        <v>0</v>
      </c>
      <c r="U62" s="106">
        <f t="shared" si="16"/>
        <v>0</v>
      </c>
      <c r="V62" s="106">
        <f t="shared" si="16"/>
        <v>0</v>
      </c>
      <c r="W62" s="106">
        <f t="shared" si="16"/>
        <v>0</v>
      </c>
      <c r="X62" s="106">
        <f t="shared" si="16"/>
        <v>0</v>
      </c>
      <c r="Y62" s="106">
        <f t="shared" si="16"/>
        <v>0</v>
      </c>
      <c r="Z62" s="106">
        <f>Z63+Z64</f>
        <v>0</v>
      </c>
      <c r="AA62" s="106">
        <f t="shared" si="16"/>
        <v>469</v>
      </c>
      <c r="AB62" s="104">
        <f t="shared" si="4"/>
        <v>-1018.3030000000001</v>
      </c>
    </row>
    <row r="63" spans="2:28" ht="15">
      <c r="B63" s="118" t="s">
        <v>51</v>
      </c>
      <c r="C63" s="113">
        <v>207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>
        <v>12</v>
      </c>
      <c r="S63" s="86"/>
      <c r="T63" s="86"/>
      <c r="U63" s="86"/>
      <c r="V63" s="86"/>
      <c r="W63" s="86"/>
      <c r="X63" s="86"/>
      <c r="Y63" s="86"/>
      <c r="Z63" s="86"/>
      <c r="AA63" s="86">
        <f>SUM(D63:Z63)</f>
        <v>12</v>
      </c>
      <c r="AB63" s="104">
        <f t="shared" si="4"/>
        <v>-195</v>
      </c>
    </row>
    <row r="64" spans="2:28" ht="15">
      <c r="B64" s="118" t="s">
        <v>35</v>
      </c>
      <c r="C64" s="113">
        <v>1280.303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>
        <v>457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457</v>
      </c>
      <c r="AB64" s="104">
        <f t="shared" si="4"/>
        <v>-823.3030000000001</v>
      </c>
    </row>
    <row r="65" spans="2:28" ht="45" customHeight="1" hidden="1">
      <c r="B65" s="119" t="s">
        <v>53</v>
      </c>
      <c r="C65" s="106">
        <v>0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4"/>
    </row>
    <row r="66" spans="1:29" ht="15" hidden="1">
      <c r="A66" s="66">
        <v>170703</v>
      </c>
      <c r="B66" s="105" t="s">
        <v>54</v>
      </c>
      <c r="C66" s="106">
        <f>C67</f>
        <v>0</v>
      </c>
      <c r="D66" s="106">
        <f aca="true" t="shared" si="17" ref="D66:AA66">D67</f>
        <v>0</v>
      </c>
      <c r="E66" s="106">
        <f t="shared" si="17"/>
        <v>0</v>
      </c>
      <c r="F66" s="106">
        <f t="shared" si="17"/>
        <v>0</v>
      </c>
      <c r="G66" s="106">
        <f t="shared" si="17"/>
        <v>0</v>
      </c>
      <c r="H66" s="106">
        <f t="shared" si="17"/>
        <v>0</v>
      </c>
      <c r="I66" s="106">
        <f t="shared" si="17"/>
        <v>0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0</v>
      </c>
      <c r="AB66" s="104">
        <f aca="true" t="shared" si="18" ref="AB66:AB81">AA66-C66</f>
        <v>0</v>
      </c>
      <c r="AC66" s="94"/>
    </row>
    <row r="67" spans="2:40" s="94" customFormat="1" ht="15" hidden="1">
      <c r="B67" s="118" t="s">
        <v>51</v>
      </c>
      <c r="C67" s="113">
        <v>0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 aca="true" t="shared" si="19" ref="AA67:AA73">SUM(D67:Z67)</f>
        <v>0</v>
      </c>
      <c r="AB67" s="104">
        <f t="shared" si="18"/>
        <v>0</v>
      </c>
      <c r="AD67" s="96"/>
      <c r="AE67" s="96"/>
      <c r="AF67" s="96"/>
      <c r="AG67" s="97"/>
      <c r="AH67" s="97"/>
      <c r="AI67" s="97"/>
      <c r="AJ67" s="97"/>
      <c r="AK67" s="97"/>
      <c r="AL67" s="97"/>
      <c r="AM67" s="97"/>
      <c r="AN67" s="97"/>
    </row>
    <row r="68" spans="2:40" s="94" customFormat="1" ht="27" hidden="1">
      <c r="B68" s="119" t="s">
        <v>55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>
        <f t="shared" si="19"/>
        <v>0</v>
      </c>
      <c r="AB68" s="104">
        <f t="shared" si="18"/>
        <v>0</v>
      </c>
      <c r="AD68" s="96"/>
      <c r="AE68" s="96"/>
      <c r="AF68" s="96"/>
      <c r="AG68" s="97"/>
      <c r="AH68" s="97"/>
      <c r="AI68" s="97"/>
      <c r="AJ68" s="97"/>
      <c r="AK68" s="97"/>
      <c r="AL68" s="97"/>
      <c r="AM68" s="97"/>
      <c r="AN68" s="97"/>
    </row>
    <row r="69" spans="2:40" s="94" customFormat="1" ht="15" hidden="1">
      <c r="B69" s="119" t="s">
        <v>57</v>
      </c>
      <c r="C69" s="106">
        <f>1.867-1.867</f>
        <v>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 t="shared" si="19"/>
        <v>0</v>
      </c>
      <c r="AB69" s="104">
        <f t="shared" si="18"/>
        <v>0</v>
      </c>
      <c r="AD69" s="96"/>
      <c r="AE69" s="96"/>
      <c r="AF69" s="96"/>
      <c r="AG69" s="97"/>
      <c r="AH69" s="97"/>
      <c r="AI69" s="97"/>
      <c r="AJ69" s="97"/>
      <c r="AK69" s="97"/>
      <c r="AL69" s="97"/>
      <c r="AM69" s="97"/>
      <c r="AN69" s="97"/>
    </row>
    <row r="70" spans="2:40" s="94" customFormat="1" ht="15" hidden="1">
      <c r="B70" s="119" t="s">
        <v>58</v>
      </c>
      <c r="C70" s="106">
        <v>0.042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>
        <f t="shared" si="19"/>
        <v>0</v>
      </c>
      <c r="AB70" s="104">
        <f t="shared" si="18"/>
        <v>-0.042</v>
      </c>
      <c r="AD70" s="96"/>
      <c r="AE70" s="96"/>
      <c r="AF70" s="96"/>
      <c r="AG70" s="97"/>
      <c r="AH70" s="97"/>
      <c r="AI70" s="97"/>
      <c r="AJ70" s="97"/>
      <c r="AK70" s="97"/>
      <c r="AL70" s="97"/>
      <c r="AM70" s="97"/>
      <c r="AN70" s="97"/>
    </row>
    <row r="71" spans="1:40" s="66" customFormat="1" ht="15">
      <c r="A71" s="66">
        <v>250102</v>
      </c>
      <c r="B71" s="105" t="s">
        <v>59</v>
      </c>
      <c r="C71" s="106">
        <v>16.75</v>
      </c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>
        <f t="shared" si="19"/>
        <v>0</v>
      </c>
      <c r="AB71" s="104">
        <f t="shared" si="18"/>
        <v>-16.75</v>
      </c>
      <c r="AD71" s="67"/>
      <c r="AE71" s="67"/>
      <c r="AF71" s="67"/>
      <c r="AG71" s="68"/>
      <c r="AH71" s="68"/>
      <c r="AI71" s="68"/>
      <c r="AJ71" s="68"/>
      <c r="AK71" s="68"/>
      <c r="AL71" s="68"/>
      <c r="AM71" s="68"/>
      <c r="AN71" s="68"/>
    </row>
    <row r="72" spans="2:40" s="66" customFormat="1" ht="55.5">
      <c r="B72" s="105" t="s">
        <v>60</v>
      </c>
      <c r="C72" s="106">
        <v>2463.8</v>
      </c>
      <c r="D72" s="106"/>
      <c r="E72" s="106"/>
      <c r="F72" s="106"/>
      <c r="G72" s="106"/>
      <c r="H72" s="106"/>
      <c r="I72" s="106">
        <v>1231.9</v>
      </c>
      <c r="J72" s="106"/>
      <c r="K72" s="106"/>
      <c r="L72" s="106"/>
      <c r="M72" s="106">
        <v>1231.9</v>
      </c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2463.8</v>
      </c>
      <c r="AB72" s="104">
        <f t="shared" si="18"/>
        <v>0</v>
      </c>
      <c r="AD72" s="67"/>
      <c r="AE72" s="67"/>
      <c r="AF72" s="67"/>
      <c r="AG72" s="68"/>
      <c r="AH72" s="68"/>
      <c r="AI72" s="68"/>
      <c r="AJ72" s="68"/>
      <c r="AK72" s="68"/>
      <c r="AL72" s="68"/>
      <c r="AM72" s="68"/>
      <c r="AN72" s="68"/>
    </row>
    <row r="73" spans="2:40" s="66" customFormat="1" ht="42">
      <c r="B73" s="105" t="s">
        <v>63</v>
      </c>
      <c r="C73" s="106">
        <v>0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0</v>
      </c>
      <c r="AB73" s="104">
        <f t="shared" si="18"/>
        <v>0</v>
      </c>
      <c r="AD73" s="67"/>
      <c r="AE73" s="67"/>
      <c r="AF73" s="67"/>
      <c r="AG73" s="68"/>
      <c r="AH73" s="68"/>
      <c r="AI73" s="68"/>
      <c r="AJ73" s="68"/>
      <c r="AK73" s="68"/>
      <c r="AL73" s="68"/>
      <c r="AM73" s="68"/>
      <c r="AN73" s="68"/>
    </row>
    <row r="74" spans="2:40" s="66" customFormat="1" ht="15">
      <c r="B74" s="120" t="s">
        <v>64</v>
      </c>
      <c r="C74" s="121">
        <f>SUM(C75:C81)</f>
        <v>22218.796</v>
      </c>
      <c r="D74" s="121">
        <f aca="true" t="shared" si="20" ref="D74:AA74">SUM(D75:D81)</f>
        <v>0</v>
      </c>
      <c r="E74" s="121">
        <f t="shared" si="20"/>
        <v>0</v>
      </c>
      <c r="F74" s="121">
        <f t="shared" si="20"/>
        <v>0</v>
      </c>
      <c r="G74" s="121">
        <f t="shared" si="20"/>
        <v>0</v>
      </c>
      <c r="H74" s="121">
        <f t="shared" si="20"/>
        <v>0</v>
      </c>
      <c r="I74" s="121">
        <f t="shared" si="20"/>
        <v>1231.9</v>
      </c>
      <c r="J74" s="121">
        <f t="shared" si="20"/>
        <v>369.974</v>
      </c>
      <c r="K74" s="121">
        <f t="shared" si="20"/>
        <v>1370.95</v>
      </c>
      <c r="L74" s="121">
        <f t="shared" si="20"/>
        <v>2369.636</v>
      </c>
      <c r="M74" s="121">
        <f t="shared" si="20"/>
        <v>1972.6190000000001</v>
      </c>
      <c r="N74" s="121">
        <f t="shared" si="20"/>
        <v>0</v>
      </c>
      <c r="O74" s="121">
        <f t="shared" si="20"/>
        <v>544.987</v>
      </c>
      <c r="P74" s="121">
        <f t="shared" si="20"/>
        <v>9.883000000000001</v>
      </c>
      <c r="Q74" s="121">
        <f t="shared" si="20"/>
        <v>3.783</v>
      </c>
      <c r="R74" s="121">
        <f t="shared" si="20"/>
        <v>965.2630000000001</v>
      </c>
      <c r="S74" s="121">
        <f t="shared" si="20"/>
        <v>3271.188</v>
      </c>
      <c r="T74" s="121">
        <f>SUM(T75:T81)</f>
        <v>2562.62</v>
      </c>
      <c r="U74" s="121">
        <f t="shared" si="20"/>
        <v>928.1820000000001</v>
      </c>
      <c r="V74" s="121">
        <f t="shared" si="20"/>
        <v>44.342</v>
      </c>
      <c r="W74" s="121">
        <f t="shared" si="20"/>
        <v>0</v>
      </c>
      <c r="X74" s="121">
        <f t="shared" si="20"/>
        <v>0</v>
      </c>
      <c r="Y74" s="121">
        <f t="shared" si="20"/>
        <v>0</v>
      </c>
      <c r="Z74" s="121">
        <f t="shared" si="20"/>
        <v>0</v>
      </c>
      <c r="AA74" s="121">
        <f t="shared" si="20"/>
        <v>15645.326999999997</v>
      </c>
      <c r="AB74" s="104">
        <f t="shared" si="18"/>
        <v>-6573.469000000001</v>
      </c>
      <c r="AC74" s="69"/>
      <c r="AD74" s="67"/>
      <c r="AE74" s="67"/>
      <c r="AF74" s="67"/>
      <c r="AG74" s="68"/>
      <c r="AH74" s="68"/>
      <c r="AI74" s="68"/>
      <c r="AJ74" s="68"/>
      <c r="AK74" s="68"/>
      <c r="AL74" s="68"/>
      <c r="AM74" s="68"/>
      <c r="AN74" s="68"/>
    </row>
    <row r="75" spans="1:40" s="72" customFormat="1" ht="15">
      <c r="A75" s="69"/>
      <c r="B75" s="107" t="s">
        <v>20</v>
      </c>
      <c r="C75" s="108">
        <f>C20+C35+C41+C45+C49+C52+C57+C24</f>
        <v>12589.328</v>
      </c>
      <c r="D75" s="108">
        <f aca="true" t="shared" si="21" ref="D75:AA75">D20+D35+D41+D45+D49+D52+D57+D24</f>
        <v>0</v>
      </c>
      <c r="E75" s="108">
        <f t="shared" si="21"/>
        <v>0</v>
      </c>
      <c r="F75" s="108">
        <f t="shared" si="21"/>
        <v>0</v>
      </c>
      <c r="G75" s="108">
        <f t="shared" si="21"/>
        <v>0</v>
      </c>
      <c r="H75" s="108">
        <f t="shared" si="21"/>
        <v>0</v>
      </c>
      <c r="I75" s="108">
        <f t="shared" si="21"/>
        <v>0</v>
      </c>
      <c r="J75" s="108">
        <f t="shared" si="21"/>
        <v>367.875</v>
      </c>
      <c r="K75" s="108">
        <f t="shared" si="21"/>
        <v>1364.487</v>
      </c>
      <c r="L75" s="108">
        <f t="shared" si="21"/>
        <v>2009.52</v>
      </c>
      <c r="M75" s="108">
        <f t="shared" si="21"/>
        <v>738.2860000000001</v>
      </c>
      <c r="N75" s="108">
        <f t="shared" si="21"/>
        <v>0</v>
      </c>
      <c r="O75" s="108">
        <f t="shared" si="21"/>
        <v>37.165</v>
      </c>
      <c r="P75" s="108">
        <f t="shared" si="21"/>
        <v>7.9</v>
      </c>
      <c r="Q75" s="108">
        <f t="shared" si="21"/>
        <v>0</v>
      </c>
      <c r="R75" s="108">
        <f t="shared" si="21"/>
        <v>782.8690000000001</v>
      </c>
      <c r="S75" s="108">
        <f t="shared" si="21"/>
        <v>3066.795</v>
      </c>
      <c r="T75" s="108">
        <f t="shared" si="21"/>
        <v>2471.676</v>
      </c>
      <c r="U75" s="108">
        <f t="shared" si="21"/>
        <v>718.6400000000001</v>
      </c>
      <c r="V75" s="108">
        <f t="shared" si="21"/>
        <v>0</v>
      </c>
      <c r="W75" s="108">
        <f t="shared" si="21"/>
        <v>0</v>
      </c>
      <c r="X75" s="108">
        <f t="shared" si="21"/>
        <v>0</v>
      </c>
      <c r="Y75" s="108">
        <f t="shared" si="21"/>
        <v>0</v>
      </c>
      <c r="Z75" s="108">
        <f t="shared" si="21"/>
        <v>0</v>
      </c>
      <c r="AA75" s="108">
        <f t="shared" si="21"/>
        <v>11565.213</v>
      </c>
      <c r="AB75" s="104">
        <f t="shared" si="18"/>
        <v>-1024.1149999999998</v>
      </c>
      <c r="AC75" s="69"/>
      <c r="AG75" s="73"/>
      <c r="AH75" s="73"/>
      <c r="AI75" s="73"/>
      <c r="AJ75" s="73"/>
      <c r="AK75" s="73"/>
      <c r="AL75" s="73"/>
      <c r="AM75" s="73"/>
      <c r="AN75" s="73"/>
    </row>
    <row r="76" spans="1:40" s="72" customFormat="1" ht="15">
      <c r="A76" s="69"/>
      <c r="B76" s="107" t="s">
        <v>29</v>
      </c>
      <c r="C76" s="108">
        <f>C25+C36+C58</f>
        <v>3.9000000000000004</v>
      </c>
      <c r="D76" s="108">
        <f aca="true" t="shared" si="22" ref="D76:AA76">D25+D36+D58</f>
        <v>0</v>
      </c>
      <c r="E76" s="108">
        <f t="shared" si="22"/>
        <v>0</v>
      </c>
      <c r="F76" s="108">
        <f t="shared" si="22"/>
        <v>0</v>
      </c>
      <c r="G76" s="108">
        <f t="shared" si="22"/>
        <v>0</v>
      </c>
      <c r="H76" s="108">
        <f t="shared" si="22"/>
        <v>0</v>
      </c>
      <c r="I76" s="108">
        <f t="shared" si="22"/>
        <v>0</v>
      </c>
      <c r="J76" s="108">
        <f t="shared" si="22"/>
        <v>0</v>
      </c>
      <c r="K76" s="108">
        <f t="shared" si="22"/>
        <v>0</v>
      </c>
      <c r="L76" s="108">
        <f t="shared" si="22"/>
        <v>0</v>
      </c>
      <c r="M76" s="108">
        <f t="shared" si="22"/>
        <v>0</v>
      </c>
      <c r="N76" s="108">
        <f t="shared" si="22"/>
        <v>0</v>
      </c>
      <c r="O76" s="108">
        <f t="shared" si="22"/>
        <v>0</v>
      </c>
      <c r="P76" s="108">
        <f t="shared" si="22"/>
        <v>0</v>
      </c>
      <c r="Q76" s="108">
        <f t="shared" si="22"/>
        <v>0</v>
      </c>
      <c r="R76" s="108">
        <f t="shared" si="22"/>
        <v>0</v>
      </c>
      <c r="S76" s="108">
        <f t="shared" si="22"/>
        <v>0</v>
      </c>
      <c r="T76" s="108">
        <f t="shared" si="22"/>
        <v>0</v>
      </c>
      <c r="U76" s="108">
        <f t="shared" si="22"/>
        <v>0</v>
      </c>
      <c r="V76" s="108">
        <f t="shared" si="22"/>
        <v>0</v>
      </c>
      <c r="W76" s="108">
        <f t="shared" si="22"/>
        <v>0</v>
      </c>
      <c r="X76" s="108">
        <f t="shared" si="22"/>
        <v>0</v>
      </c>
      <c r="Y76" s="108">
        <f t="shared" si="22"/>
        <v>0</v>
      </c>
      <c r="Z76" s="108">
        <f t="shared" si="22"/>
        <v>0</v>
      </c>
      <c r="AA76" s="108">
        <f t="shared" si="22"/>
        <v>0</v>
      </c>
      <c r="AB76" s="104">
        <f t="shared" si="18"/>
        <v>-3.9000000000000004</v>
      </c>
      <c r="AC76" s="69"/>
      <c r="AG76" s="73"/>
      <c r="AH76" s="73"/>
      <c r="AI76" s="73"/>
      <c r="AJ76" s="73"/>
      <c r="AK76" s="73"/>
      <c r="AL76" s="73"/>
      <c r="AM76" s="73"/>
      <c r="AN76" s="73"/>
    </row>
    <row r="77" spans="1:40" s="72" customFormat="1" ht="15">
      <c r="A77" s="69"/>
      <c r="B77" s="107" t="s">
        <v>31</v>
      </c>
      <c r="C77" s="108">
        <f>C26+C37</f>
        <v>566.4</v>
      </c>
      <c r="D77" s="108">
        <f aca="true" t="shared" si="23" ref="D77:AA77">D26+D37</f>
        <v>0</v>
      </c>
      <c r="E77" s="108">
        <f t="shared" si="23"/>
        <v>0</v>
      </c>
      <c r="F77" s="108">
        <f t="shared" si="23"/>
        <v>0</v>
      </c>
      <c r="G77" s="108">
        <f t="shared" si="23"/>
        <v>0</v>
      </c>
      <c r="H77" s="108">
        <f t="shared" si="23"/>
        <v>0</v>
      </c>
      <c r="I77" s="108">
        <f t="shared" si="23"/>
        <v>0</v>
      </c>
      <c r="J77" s="108">
        <f t="shared" si="23"/>
        <v>0</v>
      </c>
      <c r="K77" s="108">
        <f t="shared" si="23"/>
        <v>0</v>
      </c>
      <c r="L77" s="108">
        <f t="shared" si="23"/>
        <v>0</v>
      </c>
      <c r="M77" s="108">
        <f t="shared" si="23"/>
        <v>0</v>
      </c>
      <c r="N77" s="108">
        <f t="shared" si="23"/>
        <v>0</v>
      </c>
      <c r="O77" s="108">
        <f t="shared" si="23"/>
        <v>0</v>
      </c>
      <c r="P77" s="108">
        <f t="shared" si="23"/>
        <v>0</v>
      </c>
      <c r="Q77" s="108">
        <f t="shared" si="23"/>
        <v>0</v>
      </c>
      <c r="R77" s="108">
        <f t="shared" si="23"/>
        <v>70.467</v>
      </c>
      <c r="S77" s="108">
        <f t="shared" si="23"/>
        <v>128.449</v>
      </c>
      <c r="T77" s="108">
        <f t="shared" si="23"/>
        <v>40.909</v>
      </c>
      <c r="U77" s="108">
        <f t="shared" si="23"/>
        <v>75.14399999999999</v>
      </c>
      <c r="V77" s="108">
        <f t="shared" si="23"/>
        <v>0</v>
      </c>
      <c r="W77" s="108">
        <f t="shared" si="23"/>
        <v>0</v>
      </c>
      <c r="X77" s="108">
        <f t="shared" si="23"/>
        <v>0</v>
      </c>
      <c r="Y77" s="108">
        <f t="shared" si="23"/>
        <v>0</v>
      </c>
      <c r="Z77" s="108">
        <f t="shared" si="23"/>
        <v>0</v>
      </c>
      <c r="AA77" s="108">
        <f t="shared" si="23"/>
        <v>314.969</v>
      </c>
      <c r="AB77" s="104">
        <f t="shared" si="18"/>
        <v>-251.43099999999998</v>
      </c>
      <c r="AC77" s="69"/>
      <c r="AG77" s="73"/>
      <c r="AH77" s="73"/>
      <c r="AI77" s="73"/>
      <c r="AJ77" s="73"/>
      <c r="AK77" s="73"/>
      <c r="AL77" s="73"/>
      <c r="AM77" s="73"/>
      <c r="AN77" s="73"/>
    </row>
    <row r="78" spans="1:40" s="72" customFormat="1" ht="15">
      <c r="A78" s="69"/>
      <c r="B78" s="107" t="s">
        <v>22</v>
      </c>
      <c r="C78" s="108">
        <f>C21+C27+C38+C42+C46+C53+C59</f>
        <v>3149.67</v>
      </c>
      <c r="D78" s="108">
        <f aca="true" t="shared" si="24" ref="D78:AA78">D21+D27+D38+D42+D46+D53+D59</f>
        <v>0</v>
      </c>
      <c r="E78" s="108">
        <f t="shared" si="24"/>
        <v>0</v>
      </c>
      <c r="F78" s="108">
        <f t="shared" si="24"/>
        <v>0</v>
      </c>
      <c r="G78" s="108">
        <f t="shared" si="24"/>
        <v>0</v>
      </c>
      <c r="H78" s="108">
        <f t="shared" si="24"/>
        <v>0</v>
      </c>
      <c r="I78" s="108">
        <f t="shared" si="24"/>
        <v>0</v>
      </c>
      <c r="J78" s="108">
        <f t="shared" si="24"/>
        <v>0</v>
      </c>
      <c r="K78" s="108">
        <f t="shared" si="24"/>
        <v>0</v>
      </c>
      <c r="L78" s="108">
        <f t="shared" si="24"/>
        <v>0</v>
      </c>
      <c r="M78" s="108">
        <f t="shared" si="24"/>
        <v>0</v>
      </c>
      <c r="N78" s="108">
        <f t="shared" si="24"/>
        <v>0</v>
      </c>
      <c r="O78" s="108">
        <f t="shared" si="24"/>
        <v>0</v>
      </c>
      <c r="P78" s="108">
        <f t="shared" si="24"/>
        <v>0</v>
      </c>
      <c r="Q78" s="108">
        <f t="shared" si="24"/>
        <v>0.201</v>
      </c>
      <c r="R78" s="108">
        <f t="shared" si="24"/>
        <v>1.929</v>
      </c>
      <c r="S78" s="108">
        <f t="shared" si="24"/>
        <v>16.006</v>
      </c>
      <c r="T78" s="108">
        <f t="shared" si="24"/>
        <v>19.491</v>
      </c>
      <c r="U78" s="108">
        <f t="shared" si="24"/>
        <v>116.427</v>
      </c>
      <c r="V78" s="108">
        <f t="shared" si="24"/>
        <v>0.354</v>
      </c>
      <c r="W78" s="108">
        <f t="shared" si="24"/>
        <v>0</v>
      </c>
      <c r="X78" s="108">
        <f t="shared" si="24"/>
        <v>0</v>
      </c>
      <c r="Y78" s="108">
        <f t="shared" si="24"/>
        <v>0</v>
      </c>
      <c r="Z78" s="108">
        <f t="shared" si="24"/>
        <v>0</v>
      </c>
      <c r="AA78" s="108">
        <f t="shared" si="24"/>
        <v>154.40800000000002</v>
      </c>
      <c r="AB78" s="104">
        <f t="shared" si="18"/>
        <v>-2995.262</v>
      </c>
      <c r="AC78" s="69"/>
      <c r="AG78" s="73"/>
      <c r="AH78" s="73"/>
      <c r="AI78" s="73"/>
      <c r="AJ78" s="73"/>
      <c r="AK78" s="73"/>
      <c r="AL78" s="73"/>
      <c r="AM78" s="73"/>
      <c r="AN78" s="73"/>
    </row>
    <row r="79" spans="1:40" s="72" customFormat="1" ht="15">
      <c r="A79" s="69"/>
      <c r="B79" s="107" t="s">
        <v>47</v>
      </c>
      <c r="C79" s="108">
        <f>C54</f>
        <v>0.4</v>
      </c>
      <c r="D79" s="108">
        <f aca="true" t="shared" si="25" ref="D79:AA79">D54</f>
        <v>0</v>
      </c>
      <c r="E79" s="108">
        <f t="shared" si="25"/>
        <v>0</v>
      </c>
      <c r="F79" s="108">
        <f t="shared" si="25"/>
        <v>0</v>
      </c>
      <c r="G79" s="108">
        <f t="shared" si="25"/>
        <v>0</v>
      </c>
      <c r="H79" s="108">
        <f t="shared" si="25"/>
        <v>0</v>
      </c>
      <c r="I79" s="108">
        <f t="shared" si="25"/>
        <v>0</v>
      </c>
      <c r="J79" s="108">
        <f t="shared" si="25"/>
        <v>0</v>
      </c>
      <c r="K79" s="108">
        <f t="shared" si="25"/>
        <v>0</v>
      </c>
      <c r="L79" s="108">
        <f t="shared" si="25"/>
        <v>0</v>
      </c>
      <c r="M79" s="108">
        <f t="shared" si="25"/>
        <v>0</v>
      </c>
      <c r="N79" s="108">
        <f t="shared" si="25"/>
        <v>0</v>
      </c>
      <c r="O79" s="108">
        <f t="shared" si="25"/>
        <v>0</v>
      </c>
      <c r="P79" s="108">
        <f t="shared" si="25"/>
        <v>0</v>
      </c>
      <c r="Q79" s="108">
        <f t="shared" si="25"/>
        <v>0</v>
      </c>
      <c r="R79" s="108">
        <f t="shared" si="25"/>
        <v>0</v>
      </c>
      <c r="S79" s="108">
        <f t="shared" si="25"/>
        <v>0</v>
      </c>
      <c r="T79" s="108">
        <f t="shared" si="25"/>
        <v>0</v>
      </c>
      <c r="U79" s="108">
        <f t="shared" si="25"/>
        <v>0.38</v>
      </c>
      <c r="V79" s="108">
        <f t="shared" si="25"/>
        <v>0</v>
      </c>
      <c r="W79" s="108">
        <f t="shared" si="25"/>
        <v>0</v>
      </c>
      <c r="X79" s="108">
        <f t="shared" si="25"/>
        <v>0</v>
      </c>
      <c r="Y79" s="108">
        <f t="shared" si="25"/>
        <v>0</v>
      </c>
      <c r="Z79" s="108">
        <f t="shared" si="25"/>
        <v>0</v>
      </c>
      <c r="AA79" s="108">
        <f t="shared" si="25"/>
        <v>0.38</v>
      </c>
      <c r="AB79" s="104">
        <f t="shared" si="18"/>
        <v>-0.020000000000000018</v>
      </c>
      <c r="AC79" s="69"/>
      <c r="AG79" s="73"/>
      <c r="AH79" s="73"/>
      <c r="AI79" s="73"/>
      <c r="AJ79" s="73"/>
      <c r="AK79" s="73"/>
      <c r="AL79" s="73"/>
      <c r="AM79" s="73"/>
      <c r="AN79" s="73"/>
    </row>
    <row r="80" spans="1:40" s="72" customFormat="1" ht="15">
      <c r="A80" s="69"/>
      <c r="B80" s="107" t="s">
        <v>35</v>
      </c>
      <c r="C80" s="108">
        <f>C30+C50+C60+C64+C72</f>
        <v>4772.903</v>
      </c>
      <c r="D80" s="108">
        <f aca="true" t="shared" si="26" ref="D80:AA80">D30+D50+D60+D64+D72</f>
        <v>0</v>
      </c>
      <c r="E80" s="108">
        <f t="shared" si="26"/>
        <v>0</v>
      </c>
      <c r="F80" s="108">
        <f t="shared" si="26"/>
        <v>0</v>
      </c>
      <c r="G80" s="108">
        <f t="shared" si="26"/>
        <v>0</v>
      </c>
      <c r="H80" s="108">
        <f t="shared" si="26"/>
        <v>0</v>
      </c>
      <c r="I80" s="108">
        <f t="shared" si="26"/>
        <v>1231.9</v>
      </c>
      <c r="J80" s="108">
        <f t="shared" si="26"/>
        <v>0</v>
      </c>
      <c r="K80" s="108">
        <f t="shared" si="26"/>
        <v>6.456</v>
      </c>
      <c r="L80" s="108">
        <f t="shared" si="26"/>
        <v>144.021</v>
      </c>
      <c r="M80" s="108">
        <f t="shared" si="26"/>
        <v>1231.9</v>
      </c>
      <c r="N80" s="108">
        <f t="shared" si="26"/>
        <v>0</v>
      </c>
      <c r="O80" s="108">
        <f t="shared" si="26"/>
        <v>457</v>
      </c>
      <c r="P80" s="108">
        <f t="shared" si="26"/>
        <v>0</v>
      </c>
      <c r="Q80" s="108">
        <f t="shared" si="26"/>
        <v>0</v>
      </c>
      <c r="R80" s="108">
        <f t="shared" si="26"/>
        <v>45.141999999999996</v>
      </c>
      <c r="S80" s="108">
        <f t="shared" si="26"/>
        <v>0</v>
      </c>
      <c r="T80" s="108">
        <f t="shared" si="26"/>
        <v>15.342</v>
      </c>
      <c r="U80" s="108">
        <f t="shared" si="26"/>
        <v>0</v>
      </c>
      <c r="V80" s="108">
        <f t="shared" si="26"/>
        <v>19.618</v>
      </c>
      <c r="W80" s="108">
        <f t="shared" si="26"/>
        <v>0</v>
      </c>
      <c r="X80" s="108">
        <f t="shared" si="26"/>
        <v>0</v>
      </c>
      <c r="Y80" s="108">
        <f t="shared" si="26"/>
        <v>0</v>
      </c>
      <c r="Z80" s="108">
        <f t="shared" si="26"/>
        <v>0</v>
      </c>
      <c r="AA80" s="108">
        <f t="shared" si="26"/>
        <v>3151.379</v>
      </c>
      <c r="AB80" s="104">
        <f t="shared" si="18"/>
        <v>-1621.5240000000003</v>
      </c>
      <c r="AC80" s="69"/>
      <c r="AG80" s="73"/>
      <c r="AH80" s="73"/>
      <c r="AI80" s="73"/>
      <c r="AJ80" s="73"/>
      <c r="AK80" s="73"/>
      <c r="AL80" s="73"/>
      <c r="AM80" s="73"/>
      <c r="AN80" s="73"/>
    </row>
    <row r="81" spans="1:40" s="72" customFormat="1" ht="15">
      <c r="A81" s="69"/>
      <c r="B81" s="107" t="s">
        <v>24</v>
      </c>
      <c r="C81" s="108">
        <f>C22+C28+C31+C32+C39+C43+C47+C55+C61+C67+C70+C71+C73+C63+C69+C68+C33+C65</f>
        <v>1136.1950000000002</v>
      </c>
      <c r="D81" s="108">
        <f aca="true" t="shared" si="27" ref="D81:AA81">D22+D28+D31+D32+D39+D43+D47+D55+D61+D67+D70+D71+D73+D63+D69+D68+D33+D65</f>
        <v>0</v>
      </c>
      <c r="E81" s="108">
        <f t="shared" si="27"/>
        <v>0</v>
      </c>
      <c r="F81" s="108">
        <f t="shared" si="27"/>
        <v>0</v>
      </c>
      <c r="G81" s="108">
        <f t="shared" si="27"/>
        <v>0</v>
      </c>
      <c r="H81" s="108">
        <f t="shared" si="27"/>
        <v>0</v>
      </c>
      <c r="I81" s="108">
        <f t="shared" si="27"/>
        <v>0</v>
      </c>
      <c r="J81" s="108">
        <f t="shared" si="27"/>
        <v>2.099</v>
      </c>
      <c r="K81" s="108">
        <f t="shared" si="27"/>
        <v>0.007</v>
      </c>
      <c r="L81" s="108">
        <f t="shared" si="27"/>
        <v>216.095</v>
      </c>
      <c r="M81" s="108">
        <f t="shared" si="27"/>
        <v>2.433</v>
      </c>
      <c r="N81" s="108">
        <f t="shared" si="27"/>
        <v>0</v>
      </c>
      <c r="O81" s="108">
        <f t="shared" si="27"/>
        <v>50.821999999999996</v>
      </c>
      <c r="P81" s="108">
        <f t="shared" si="27"/>
        <v>1.983</v>
      </c>
      <c r="Q81" s="108">
        <f t="shared" si="27"/>
        <v>3.582</v>
      </c>
      <c r="R81" s="108">
        <f t="shared" si="27"/>
        <v>64.856</v>
      </c>
      <c r="S81" s="108">
        <f t="shared" si="27"/>
        <v>59.938</v>
      </c>
      <c r="T81" s="108">
        <f t="shared" si="27"/>
        <v>15.201999999999998</v>
      </c>
      <c r="U81" s="108">
        <f t="shared" si="27"/>
        <v>17.590999999999998</v>
      </c>
      <c r="V81" s="108">
        <f t="shared" si="27"/>
        <v>24.37</v>
      </c>
      <c r="W81" s="108">
        <f t="shared" si="27"/>
        <v>0</v>
      </c>
      <c r="X81" s="108">
        <f t="shared" si="27"/>
        <v>0</v>
      </c>
      <c r="Y81" s="108">
        <f t="shared" si="27"/>
        <v>0</v>
      </c>
      <c r="Z81" s="108">
        <f t="shared" si="27"/>
        <v>0</v>
      </c>
      <c r="AA81" s="108">
        <f t="shared" si="27"/>
        <v>458.97799999999995</v>
      </c>
      <c r="AB81" s="104">
        <f t="shared" si="18"/>
        <v>-677.2170000000002</v>
      </c>
      <c r="AC81" s="69"/>
      <c r="AG81" s="73"/>
      <c r="AH81" s="73"/>
      <c r="AI81" s="73"/>
      <c r="AJ81" s="73"/>
      <c r="AK81" s="73"/>
      <c r="AL81" s="73"/>
      <c r="AM81" s="73"/>
      <c r="AN81" s="73"/>
    </row>
    <row r="82" spans="1:40" s="72" customFormat="1" ht="15">
      <c r="A82" s="69"/>
      <c r="B82" s="69"/>
      <c r="C82" s="122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71"/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">
      <c r="A83" s="69"/>
      <c r="B83" s="69" t="s">
        <v>65</v>
      </c>
      <c r="C83" s="124">
        <f aca="true" t="shared" si="28" ref="C83:Y83">C18-C74</f>
        <v>0</v>
      </c>
      <c r="D83" s="125">
        <f t="shared" si="28"/>
        <v>0</v>
      </c>
      <c r="E83" s="125">
        <f t="shared" si="28"/>
        <v>0</v>
      </c>
      <c r="F83" s="125">
        <f t="shared" si="28"/>
        <v>0</v>
      </c>
      <c r="G83" s="125">
        <f t="shared" si="28"/>
        <v>0</v>
      </c>
      <c r="H83" s="125">
        <f t="shared" si="28"/>
        <v>0</v>
      </c>
      <c r="I83" s="125">
        <f t="shared" si="28"/>
        <v>0</v>
      </c>
      <c r="J83" s="125">
        <f t="shared" si="28"/>
        <v>0</v>
      </c>
      <c r="K83" s="125">
        <f t="shared" si="28"/>
        <v>0</v>
      </c>
      <c r="L83" s="125">
        <f t="shared" si="28"/>
        <v>0</v>
      </c>
      <c r="M83" s="125">
        <f t="shared" si="28"/>
        <v>0</v>
      </c>
      <c r="N83" s="125">
        <f t="shared" si="28"/>
        <v>0</v>
      </c>
      <c r="O83" s="125">
        <f t="shared" si="28"/>
        <v>0</v>
      </c>
      <c r="P83" s="125">
        <f t="shared" si="28"/>
        <v>0</v>
      </c>
      <c r="Q83" s="125">
        <f t="shared" si="28"/>
        <v>0</v>
      </c>
      <c r="R83" s="125">
        <f t="shared" si="28"/>
        <v>0</v>
      </c>
      <c r="S83" s="125">
        <f t="shared" si="28"/>
        <v>0</v>
      </c>
      <c r="T83" s="125">
        <f t="shared" si="28"/>
        <v>0</v>
      </c>
      <c r="U83" s="125">
        <f t="shared" si="28"/>
        <v>0</v>
      </c>
      <c r="V83" s="125">
        <f t="shared" si="28"/>
        <v>0</v>
      </c>
      <c r="W83" s="125">
        <f t="shared" si="28"/>
        <v>0</v>
      </c>
      <c r="X83" s="125">
        <f t="shared" si="28"/>
        <v>0</v>
      </c>
      <c r="Y83" s="125">
        <f t="shared" si="28"/>
        <v>0</v>
      </c>
      <c r="Z83" s="125"/>
      <c r="AA83" s="125">
        <f>AA18-AA74</f>
        <v>0</v>
      </c>
      <c r="AB83" s="71"/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">
      <c r="A84" s="69"/>
      <c r="B84" s="69"/>
      <c r="C84" s="126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71"/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">
      <c r="A85" s="69"/>
      <c r="B85" s="69"/>
      <c r="C85" s="126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71"/>
      <c r="AC85" s="69"/>
      <c r="AG85" s="73"/>
      <c r="AH85" s="73"/>
      <c r="AI85" s="73"/>
      <c r="AJ85" s="73"/>
      <c r="AK85" s="73"/>
      <c r="AL85" s="73"/>
      <c r="AM85" s="73"/>
      <c r="AN85" s="73"/>
    </row>
    <row r="87" spans="1:40" s="72" customFormat="1" ht="1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71"/>
      <c r="AC87" s="127"/>
      <c r="AG87" s="73"/>
      <c r="AH87" s="73"/>
      <c r="AI87" s="73"/>
      <c r="AJ87" s="73"/>
      <c r="AK87" s="73"/>
      <c r="AL87" s="73"/>
      <c r="AM87" s="73"/>
      <c r="AN87" s="73"/>
    </row>
    <row r="166" ht="15">
      <c r="B166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3:AN174"/>
  <sheetViews>
    <sheetView zoomScale="85" zoomScaleNormal="85" zoomScaleSheetLayoutView="55" workbookViewId="0" topLeftCell="B1">
      <pane xSplit="4740" ySplit="2496" topLeftCell="Y1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5" width="8.7109375" style="69" customWidth="1"/>
    <col min="26" max="26" width="8.71093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7.25">
      <c r="B3" s="137" t="s">
        <v>78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">
      <c r="B4" s="69" t="s">
        <v>0</v>
      </c>
      <c r="AA4" s="70" t="s">
        <v>1</v>
      </c>
    </row>
    <row r="5" spans="2:27" ht="69">
      <c r="B5" s="74" t="s">
        <v>2</v>
      </c>
      <c r="C5" s="75" t="s">
        <v>3</v>
      </c>
      <c r="D5" s="76">
        <v>1</v>
      </c>
      <c r="E5" s="74">
        <v>2</v>
      </c>
      <c r="F5" s="74">
        <v>3</v>
      </c>
      <c r="G5" s="74">
        <v>4</v>
      </c>
      <c r="H5" s="74">
        <v>7</v>
      </c>
      <c r="I5" s="74">
        <v>8</v>
      </c>
      <c r="J5" s="77">
        <v>9</v>
      </c>
      <c r="K5" s="74">
        <v>10</v>
      </c>
      <c r="L5" s="74">
        <v>11</v>
      </c>
      <c r="M5" s="74">
        <v>15</v>
      </c>
      <c r="N5" s="74">
        <v>16</v>
      </c>
      <c r="O5" s="74">
        <v>17</v>
      </c>
      <c r="P5" s="74">
        <v>18</v>
      </c>
      <c r="Q5" s="74">
        <v>21</v>
      </c>
      <c r="R5" s="74">
        <v>22</v>
      </c>
      <c r="S5" s="74">
        <v>23</v>
      </c>
      <c r="T5" s="74">
        <v>24</v>
      </c>
      <c r="U5" s="74">
        <v>25</v>
      </c>
      <c r="V5" s="77">
        <v>28</v>
      </c>
      <c r="W5" s="74">
        <v>29</v>
      </c>
      <c r="X5" s="77">
        <v>30</v>
      </c>
      <c r="Y5" s="77">
        <v>31</v>
      </c>
      <c r="Z5" s="77"/>
      <c r="AA5" s="76" t="s">
        <v>4</v>
      </c>
    </row>
    <row r="6" spans="2:27" ht="27">
      <c r="B6" s="78" t="s">
        <v>5</v>
      </c>
      <c r="C6" s="79">
        <f>SUM(D6:Y6)</f>
        <v>0</v>
      </c>
      <c r="D6" s="80"/>
      <c r="E6" s="81"/>
      <c r="F6" s="82"/>
      <c r="G6" s="81"/>
      <c r="H6" s="82"/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">
      <c r="B7" s="84" t="s">
        <v>6</v>
      </c>
      <c r="C7" s="79">
        <f>SUM(D7:Y7)</f>
        <v>3662.3</v>
      </c>
      <c r="D7" s="85">
        <v>1831.1</v>
      </c>
      <c r="E7" s="81"/>
      <c r="F7" s="81"/>
      <c r="G7" s="81"/>
      <c r="H7" s="81"/>
      <c r="I7" s="81"/>
      <c r="J7" s="86"/>
      <c r="K7" s="81"/>
      <c r="L7" s="81">
        <v>1831.2</v>
      </c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">
      <c r="B8" s="87" t="s">
        <v>8</v>
      </c>
      <c r="C8" s="88">
        <f aca="true" t="shared" si="0" ref="C8:C16">SUM(D8:Z8)</f>
        <v>20370.2</v>
      </c>
      <c r="D8" s="89">
        <f aca="true" t="shared" si="1" ref="D8:Y8">SUM(D9:D16)</f>
        <v>204.10000000000002</v>
      </c>
      <c r="E8" s="89">
        <f t="shared" si="1"/>
        <v>178.40000000000003</v>
      </c>
      <c r="F8" s="89">
        <f t="shared" si="1"/>
        <v>508.90000000000003</v>
      </c>
      <c r="G8" s="89">
        <f t="shared" si="1"/>
        <v>2253.5</v>
      </c>
      <c r="H8" s="89">
        <f t="shared" si="1"/>
        <v>1604.2</v>
      </c>
      <c r="I8" s="89">
        <f>SUM(I9:I16)</f>
        <v>308.6</v>
      </c>
      <c r="J8" s="89">
        <f t="shared" si="1"/>
        <v>418.4</v>
      </c>
      <c r="K8" s="89">
        <f>SUM(K9:K16)</f>
        <v>521.1999999999999</v>
      </c>
      <c r="L8" s="89">
        <f t="shared" si="1"/>
        <v>787.1999999999999</v>
      </c>
      <c r="M8" s="89">
        <f t="shared" si="1"/>
        <v>970.3</v>
      </c>
      <c r="N8" s="89">
        <f t="shared" si="1"/>
        <v>569.4999999999999</v>
      </c>
      <c r="O8" s="89">
        <f t="shared" si="1"/>
        <v>626.4</v>
      </c>
      <c r="P8" s="89">
        <f t="shared" si="1"/>
        <v>678.9</v>
      </c>
      <c r="Q8" s="89">
        <f t="shared" si="1"/>
        <v>1091.3</v>
      </c>
      <c r="R8" s="89">
        <f t="shared" si="1"/>
        <v>1375.5</v>
      </c>
      <c r="S8" s="89">
        <f>SUM(S9:S16)</f>
        <v>551.1999999999999</v>
      </c>
      <c r="T8" s="89">
        <f>SUM(T9:T16)</f>
        <v>444.69999999999993</v>
      </c>
      <c r="U8" s="89">
        <f t="shared" si="1"/>
        <v>2351.7</v>
      </c>
      <c r="V8" s="89">
        <f t="shared" si="1"/>
        <v>1665.2000000000003</v>
      </c>
      <c r="W8" s="89">
        <f t="shared" si="1"/>
        <v>1344.4</v>
      </c>
      <c r="X8" s="89">
        <f t="shared" si="1"/>
        <v>747.5</v>
      </c>
      <c r="Y8" s="89">
        <f t="shared" si="1"/>
        <v>1169.1000000000001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">
      <c r="B9" s="27" t="s">
        <v>9</v>
      </c>
      <c r="C9" s="90">
        <f t="shared" si="0"/>
        <v>10866.699999999999</v>
      </c>
      <c r="D9" s="91">
        <v>76.9</v>
      </c>
      <c r="E9" s="86">
        <v>83.7</v>
      </c>
      <c r="F9" s="86">
        <v>159.2</v>
      </c>
      <c r="G9" s="86">
        <v>1979.8</v>
      </c>
      <c r="H9" s="86">
        <v>1422</v>
      </c>
      <c r="I9" s="86">
        <v>97.5</v>
      </c>
      <c r="J9" s="86">
        <v>162.9</v>
      </c>
      <c r="K9" s="86">
        <v>256.8</v>
      </c>
      <c r="L9" s="86">
        <v>594.5</v>
      </c>
      <c r="M9" s="86">
        <v>503.4</v>
      </c>
      <c r="N9" s="86">
        <v>131.3</v>
      </c>
      <c r="O9" s="86">
        <v>290.9</v>
      </c>
      <c r="P9" s="86">
        <v>305</v>
      </c>
      <c r="Q9" s="86">
        <v>737.9</v>
      </c>
      <c r="R9" s="92">
        <v>1069.3</v>
      </c>
      <c r="S9" s="92">
        <v>345.1</v>
      </c>
      <c r="T9" s="86">
        <v>254.6</v>
      </c>
      <c r="U9" s="92">
        <v>533.2</v>
      </c>
      <c r="V9" s="86">
        <v>560.9</v>
      </c>
      <c r="W9" s="86">
        <v>217.9</v>
      </c>
      <c r="X9" s="86">
        <v>371.6</v>
      </c>
      <c r="Y9" s="86">
        <v>712.3</v>
      </c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1220.1999999999998</v>
      </c>
      <c r="D11" s="91">
        <v>41.7</v>
      </c>
      <c r="E11" s="86">
        <v>30.4</v>
      </c>
      <c r="F11" s="86">
        <v>24.5</v>
      </c>
      <c r="G11" s="86">
        <v>27</v>
      </c>
      <c r="H11" s="86">
        <v>48.4</v>
      </c>
      <c r="I11" s="86">
        <v>67</v>
      </c>
      <c r="J11" s="86">
        <v>22.2</v>
      </c>
      <c r="K11" s="86">
        <v>42.7</v>
      </c>
      <c r="L11" s="86">
        <v>29.5</v>
      </c>
      <c r="M11" s="86">
        <v>107.2</v>
      </c>
      <c r="N11" s="86">
        <v>25</v>
      </c>
      <c r="O11" s="86">
        <v>37.8</v>
      </c>
      <c r="P11" s="86">
        <v>52.4</v>
      </c>
      <c r="Q11" s="86">
        <v>81.4</v>
      </c>
      <c r="R11" s="92">
        <v>29.3</v>
      </c>
      <c r="S11" s="92">
        <v>22.7</v>
      </c>
      <c r="T11" s="86">
        <v>50.6</v>
      </c>
      <c r="U11" s="92">
        <v>126.5</v>
      </c>
      <c r="V11" s="86">
        <v>122.6</v>
      </c>
      <c r="W11" s="86">
        <v>112.7</v>
      </c>
      <c r="X11" s="86">
        <v>62.8</v>
      </c>
      <c r="Y11" s="86">
        <v>55.8</v>
      </c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">
      <c r="B12" s="27" t="s">
        <v>12</v>
      </c>
      <c r="C12" s="90">
        <f t="shared" si="0"/>
        <v>2502.1000000000004</v>
      </c>
      <c r="D12" s="91"/>
      <c r="E12" s="86">
        <v>15.3</v>
      </c>
      <c r="F12" s="86">
        <v>189.9</v>
      </c>
      <c r="G12" s="86">
        <v>2.6</v>
      </c>
      <c r="H12" s="86">
        <v>0.3</v>
      </c>
      <c r="I12" s="86">
        <v>5.4</v>
      </c>
      <c r="J12" s="113">
        <v>32.5</v>
      </c>
      <c r="K12" s="86">
        <v>4.7</v>
      </c>
      <c r="L12" s="86">
        <v>34.6</v>
      </c>
      <c r="M12" s="86">
        <v>52.6</v>
      </c>
      <c r="N12" s="86">
        <v>36.3</v>
      </c>
      <c r="O12" s="86">
        <v>20.5</v>
      </c>
      <c r="P12" s="86">
        <v>6.4</v>
      </c>
      <c r="Q12" s="86">
        <v>44.5</v>
      </c>
      <c r="R12" s="92">
        <v>56.9</v>
      </c>
      <c r="S12" s="92">
        <v>53.3</v>
      </c>
      <c r="T12" s="86">
        <v>33.4</v>
      </c>
      <c r="U12" s="92">
        <v>1411.3</v>
      </c>
      <c r="V12" s="86">
        <v>153.8</v>
      </c>
      <c r="W12" s="86">
        <v>299.8</v>
      </c>
      <c r="X12" s="86">
        <v>36.5</v>
      </c>
      <c r="Y12" s="86">
        <v>11.5</v>
      </c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">
      <c r="B13" s="27" t="s">
        <v>13</v>
      </c>
      <c r="C13" s="90">
        <f t="shared" si="0"/>
        <v>2301.1</v>
      </c>
      <c r="D13" s="91">
        <v>7.3</v>
      </c>
      <c r="E13" s="86">
        <v>8</v>
      </c>
      <c r="F13" s="86">
        <v>38.6</v>
      </c>
      <c r="G13" s="86">
        <v>12.9</v>
      </c>
      <c r="H13" s="86">
        <v>22.5</v>
      </c>
      <c r="I13" s="86">
        <v>1.6</v>
      </c>
      <c r="J13" s="86">
        <v>41.9</v>
      </c>
      <c r="K13" s="86">
        <v>15.7</v>
      </c>
      <c r="L13" s="86">
        <v>5.4</v>
      </c>
      <c r="M13" s="86">
        <v>99</v>
      </c>
      <c r="N13" s="86">
        <v>28.7</v>
      </c>
      <c r="O13" s="86">
        <v>29.9</v>
      </c>
      <c r="P13" s="86">
        <v>20.8</v>
      </c>
      <c r="Q13" s="86">
        <v>70.3</v>
      </c>
      <c r="R13" s="92">
        <v>114</v>
      </c>
      <c r="S13" s="92">
        <v>74.8</v>
      </c>
      <c r="T13" s="86">
        <v>31.5</v>
      </c>
      <c r="U13" s="86">
        <v>124.2</v>
      </c>
      <c r="V13" s="86">
        <v>757.6</v>
      </c>
      <c r="W13" s="86">
        <v>557.6</v>
      </c>
      <c r="X13" s="86">
        <v>227.6</v>
      </c>
      <c r="Y13" s="86">
        <v>11.2</v>
      </c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">
      <c r="B14" s="27" t="s">
        <v>14</v>
      </c>
      <c r="C14" s="90">
        <f t="shared" si="0"/>
        <v>2831.9999999999995</v>
      </c>
      <c r="D14" s="91">
        <v>39.1</v>
      </c>
      <c r="E14" s="86">
        <v>29.9</v>
      </c>
      <c r="F14" s="86">
        <v>79.3</v>
      </c>
      <c r="G14" s="86">
        <v>221.2</v>
      </c>
      <c r="H14" s="86">
        <v>102.5</v>
      </c>
      <c r="I14" s="86">
        <v>123</v>
      </c>
      <c r="J14" s="86">
        <v>145.4</v>
      </c>
      <c r="K14" s="86">
        <v>156.4</v>
      </c>
      <c r="L14" s="86">
        <v>97.8</v>
      </c>
      <c r="M14" s="86">
        <v>178.9</v>
      </c>
      <c r="N14" s="86">
        <v>324</v>
      </c>
      <c r="O14" s="86">
        <v>205.6</v>
      </c>
      <c r="P14" s="86">
        <v>269.5</v>
      </c>
      <c r="Q14" s="86">
        <v>137.9</v>
      </c>
      <c r="R14" s="92">
        <v>86.2</v>
      </c>
      <c r="S14" s="92">
        <v>22.6</v>
      </c>
      <c r="T14" s="86">
        <v>48.3</v>
      </c>
      <c r="U14" s="92">
        <v>133</v>
      </c>
      <c r="V14" s="86">
        <v>14</v>
      </c>
      <c r="W14" s="86">
        <v>50.7</v>
      </c>
      <c r="X14" s="86">
        <v>15.1</v>
      </c>
      <c r="Y14" s="86">
        <v>351.6</v>
      </c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220.00000000000003</v>
      </c>
      <c r="D15" s="91">
        <v>6.3</v>
      </c>
      <c r="E15" s="86">
        <v>7.3</v>
      </c>
      <c r="F15" s="86">
        <v>4.4</v>
      </c>
      <c r="G15" s="86">
        <v>3.9</v>
      </c>
      <c r="H15" s="86">
        <v>4.6</v>
      </c>
      <c r="I15" s="86">
        <v>8.5</v>
      </c>
      <c r="J15" s="86">
        <v>8.1</v>
      </c>
      <c r="K15" s="86">
        <v>27.9</v>
      </c>
      <c r="L15" s="86">
        <v>11.1</v>
      </c>
      <c r="M15" s="86">
        <v>14.4</v>
      </c>
      <c r="N15" s="86">
        <v>12.3</v>
      </c>
      <c r="O15" s="86">
        <v>10.2</v>
      </c>
      <c r="P15" s="86">
        <v>12.1</v>
      </c>
      <c r="Q15" s="86">
        <v>7.3</v>
      </c>
      <c r="R15" s="92">
        <v>9.1</v>
      </c>
      <c r="S15" s="92">
        <v>10.4</v>
      </c>
      <c r="T15" s="86">
        <v>8.4</v>
      </c>
      <c r="U15" s="92">
        <v>15.5</v>
      </c>
      <c r="V15" s="86">
        <v>10.9</v>
      </c>
      <c r="W15" s="86">
        <v>11.4</v>
      </c>
      <c r="X15" s="86">
        <v>5.5</v>
      </c>
      <c r="Y15" s="86">
        <v>10.4</v>
      </c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428.09999999999997</v>
      </c>
      <c r="D16" s="91">
        <v>32.8</v>
      </c>
      <c r="E16" s="86">
        <v>3.8</v>
      </c>
      <c r="F16" s="86">
        <v>13</v>
      </c>
      <c r="G16" s="86">
        <v>6.1</v>
      </c>
      <c r="H16" s="86">
        <v>3.9</v>
      </c>
      <c r="I16" s="86">
        <v>5.6</v>
      </c>
      <c r="J16" s="86">
        <v>5.4</v>
      </c>
      <c r="K16" s="86">
        <v>17</v>
      </c>
      <c r="L16" s="86">
        <v>14.3</v>
      </c>
      <c r="M16" s="86">
        <v>14.8</v>
      </c>
      <c r="N16" s="86">
        <v>11.9</v>
      </c>
      <c r="O16" s="86">
        <v>31.5</v>
      </c>
      <c r="P16" s="86">
        <v>12.7</v>
      </c>
      <c r="Q16" s="86">
        <v>12</v>
      </c>
      <c r="R16" s="92">
        <v>10.7</v>
      </c>
      <c r="S16" s="92">
        <v>22.3</v>
      </c>
      <c r="T16" s="86">
        <v>17.9</v>
      </c>
      <c r="U16" s="92">
        <v>8</v>
      </c>
      <c r="V16" s="86">
        <v>45.4</v>
      </c>
      <c r="W16" s="86">
        <v>94.3</v>
      </c>
      <c r="X16" s="92">
        <v>28.4</v>
      </c>
      <c r="Y16" s="86">
        <v>16.3</v>
      </c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24032.5</v>
      </c>
      <c r="D17" s="101">
        <f>SUM(D6:D8)</f>
        <v>2035.1999999999998</v>
      </c>
      <c r="E17" s="101">
        <f aca="true" t="shared" si="2" ref="E17:Y17">SUM(E6:E8)</f>
        <v>178.40000000000003</v>
      </c>
      <c r="F17" s="101">
        <f t="shared" si="2"/>
        <v>508.90000000000003</v>
      </c>
      <c r="G17" s="101">
        <f t="shared" si="2"/>
        <v>2253.5</v>
      </c>
      <c r="H17" s="101">
        <f t="shared" si="2"/>
        <v>1604.2</v>
      </c>
      <c r="I17" s="101">
        <f t="shared" si="2"/>
        <v>308.6</v>
      </c>
      <c r="J17" s="101">
        <f t="shared" si="2"/>
        <v>418.4</v>
      </c>
      <c r="K17" s="101">
        <f t="shared" si="2"/>
        <v>521.1999999999999</v>
      </c>
      <c r="L17" s="101">
        <f t="shared" si="2"/>
        <v>2618.4</v>
      </c>
      <c r="M17" s="101">
        <f>SUM(M6:M8)</f>
        <v>970.3</v>
      </c>
      <c r="N17" s="101">
        <f t="shared" si="2"/>
        <v>569.4999999999999</v>
      </c>
      <c r="O17" s="101">
        <f t="shared" si="2"/>
        <v>626.4</v>
      </c>
      <c r="P17" s="101">
        <f t="shared" si="2"/>
        <v>678.9</v>
      </c>
      <c r="Q17" s="101">
        <f t="shared" si="2"/>
        <v>1091.3</v>
      </c>
      <c r="R17" s="101">
        <f t="shared" si="2"/>
        <v>1375.5</v>
      </c>
      <c r="S17" s="101">
        <f>SUM(S6:S8)</f>
        <v>551.1999999999999</v>
      </c>
      <c r="T17" s="101">
        <f>SUM(T6:T8)</f>
        <v>444.69999999999993</v>
      </c>
      <c r="U17" s="101">
        <f t="shared" si="2"/>
        <v>2351.7</v>
      </c>
      <c r="V17" s="101">
        <f t="shared" si="2"/>
        <v>1665.2000000000003</v>
      </c>
      <c r="W17" s="101">
        <f t="shared" si="2"/>
        <v>1344.4</v>
      </c>
      <c r="X17" s="101">
        <f t="shared" si="2"/>
        <v>747.5</v>
      </c>
      <c r="Y17" s="101">
        <f t="shared" si="2"/>
        <v>1169.1000000000001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">
      <c r="B18" s="102" t="s">
        <v>18</v>
      </c>
      <c r="C18" s="103">
        <f>C19+C23+C29+C32+C33+C35+C36+C42+C46+C50+C53+C58+C64+C71+C76+C77+C81+C31+C67+C75+C73+C74+C78+C79+C80+C70+C34</f>
        <v>30587.4315</v>
      </c>
      <c r="D18" s="103">
        <f aca="true" t="shared" si="3" ref="D18:AA18">D19+D23+D29+D32+D33+D35+D36+D42+D46+D50+D53+D58+D64+D71+D76+D77+D81+D31+D67+D75+D73+D74+D78+D79+D80+D70+D34</f>
        <v>967.179</v>
      </c>
      <c r="E18" s="103">
        <f t="shared" si="3"/>
        <v>900.004</v>
      </c>
      <c r="F18" s="103">
        <f t="shared" si="3"/>
        <v>0</v>
      </c>
      <c r="G18" s="103">
        <f t="shared" si="3"/>
        <v>1835.391</v>
      </c>
      <c r="H18" s="103">
        <f t="shared" si="3"/>
        <v>530.619</v>
      </c>
      <c r="I18" s="103">
        <f t="shared" si="3"/>
        <v>896.7330000000002</v>
      </c>
      <c r="J18" s="103">
        <f t="shared" si="3"/>
        <v>3463.9619999999995</v>
      </c>
      <c r="K18" s="103">
        <f t="shared" si="3"/>
        <v>0</v>
      </c>
      <c r="L18" s="103">
        <f t="shared" si="3"/>
        <v>3352.5159999999996</v>
      </c>
      <c r="M18" s="103">
        <f t="shared" si="3"/>
        <v>2.853</v>
      </c>
      <c r="N18" s="103">
        <f t="shared" si="3"/>
        <v>516.295</v>
      </c>
      <c r="O18" s="103">
        <f t="shared" si="3"/>
        <v>35.98</v>
      </c>
      <c r="P18" s="103">
        <f t="shared" si="3"/>
        <v>1326.191</v>
      </c>
      <c r="Q18" s="103">
        <f t="shared" si="3"/>
        <v>0</v>
      </c>
      <c r="R18" s="103">
        <f t="shared" si="3"/>
        <v>649.1759999999999</v>
      </c>
      <c r="S18" s="103">
        <f t="shared" si="3"/>
        <v>3894.2969999999996</v>
      </c>
      <c r="T18" s="103">
        <f t="shared" si="3"/>
        <v>0</v>
      </c>
      <c r="U18" s="103">
        <f t="shared" si="3"/>
        <v>6558.264999999999</v>
      </c>
      <c r="V18" s="103">
        <f t="shared" si="3"/>
        <v>0</v>
      </c>
      <c r="W18" s="103">
        <f t="shared" si="3"/>
        <v>-32.472269999999995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24896.98873</v>
      </c>
      <c r="AB18" s="104">
        <f aca="true" t="shared" si="4" ref="AB18:AB81">AA18-C18</f>
        <v>-5690.442769999998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">
      <c r="A19" s="66">
        <v>10116</v>
      </c>
      <c r="B19" s="105" t="s">
        <v>19</v>
      </c>
      <c r="C19" s="106">
        <f aca="true" t="shared" si="5" ref="C19:AA19">SUM(C20:C22)</f>
        <v>5121.608</v>
      </c>
      <c r="D19" s="106">
        <f t="shared" si="5"/>
        <v>0</v>
      </c>
      <c r="E19" s="106">
        <f t="shared" si="5"/>
        <v>35.078</v>
      </c>
      <c r="F19" s="106">
        <f t="shared" si="5"/>
        <v>0</v>
      </c>
      <c r="G19" s="106">
        <f t="shared" si="5"/>
        <v>26.093</v>
      </c>
      <c r="H19" s="106">
        <f t="shared" si="5"/>
        <v>530.619</v>
      </c>
      <c r="I19" s="106">
        <f t="shared" si="5"/>
        <v>547.1610000000001</v>
      </c>
      <c r="J19" s="106">
        <f t="shared" si="5"/>
        <v>547.1610000000001</v>
      </c>
      <c r="K19" s="106">
        <f t="shared" si="5"/>
        <v>0</v>
      </c>
      <c r="L19" s="106">
        <f t="shared" si="5"/>
        <v>186.641</v>
      </c>
      <c r="M19" s="106">
        <f t="shared" si="5"/>
        <v>2.853</v>
      </c>
      <c r="N19" s="106">
        <f t="shared" si="5"/>
        <v>15.141</v>
      </c>
      <c r="O19" s="106">
        <f t="shared" si="5"/>
        <v>0</v>
      </c>
      <c r="P19" s="106">
        <f t="shared" si="5"/>
        <v>40.705</v>
      </c>
      <c r="Q19" s="106">
        <f t="shared" si="5"/>
        <v>0</v>
      </c>
      <c r="R19" s="106">
        <f t="shared" si="5"/>
        <v>158.49</v>
      </c>
      <c r="S19" s="106">
        <f t="shared" si="5"/>
        <v>17.961</v>
      </c>
      <c r="T19" s="106">
        <f>SUM(T20:T22)</f>
        <v>0</v>
      </c>
      <c r="U19" s="106">
        <f t="shared" si="5"/>
        <v>1481.3890000000001</v>
      </c>
      <c r="V19" s="106">
        <f t="shared" si="5"/>
        <v>0</v>
      </c>
      <c r="W19" s="106">
        <f t="shared" si="5"/>
        <v>14.799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3604.091</v>
      </c>
      <c r="AB19" s="104">
        <f t="shared" si="4"/>
        <v>-1517.5170000000003</v>
      </c>
      <c r="AD19" s="72"/>
      <c r="AE19" s="67"/>
      <c r="AF19" s="67"/>
      <c r="AG19" s="68"/>
      <c r="AH19" s="68"/>
      <c r="AI19" s="68"/>
      <c r="AJ19" s="68"/>
      <c r="AK19" s="68"/>
      <c r="AL19" s="68"/>
      <c r="AM19" s="68"/>
      <c r="AN19" s="68"/>
    </row>
    <row r="20" spans="2:33" ht="15">
      <c r="B20" s="107" t="s">
        <v>20</v>
      </c>
      <c r="C20" s="108">
        <f>3083.891+3.5+9+0.8+10</f>
        <v>3107.1910000000003</v>
      </c>
      <c r="D20" s="81"/>
      <c r="E20" s="81"/>
      <c r="F20" s="81"/>
      <c r="G20" s="81"/>
      <c r="H20" s="81">
        <v>523.297</v>
      </c>
      <c r="I20" s="86">
        <v>535.181</v>
      </c>
      <c r="J20" s="86">
        <v>535.181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>
        <v>1425.15</v>
      </c>
      <c r="V20" s="86"/>
      <c r="W20" s="86"/>
      <c r="X20" s="86"/>
      <c r="Y20" s="81"/>
      <c r="Z20" s="81"/>
      <c r="AA20" s="81">
        <f>SUM(D20:Z20)</f>
        <v>3018.809</v>
      </c>
      <c r="AB20" s="104">
        <f t="shared" si="4"/>
        <v>-88.38200000000006</v>
      </c>
      <c r="AC20" s="71"/>
      <c r="AD20" s="67" t="s">
        <v>21</v>
      </c>
      <c r="AE20" s="109">
        <f>AA19</f>
        <v>3604.091</v>
      </c>
      <c r="AG20" s="72"/>
    </row>
    <row r="21" spans="2:33" ht="15">
      <c r="B21" s="107" t="s">
        <v>22</v>
      </c>
      <c r="C21" s="108">
        <v>431.688</v>
      </c>
      <c r="D21" s="81"/>
      <c r="E21" s="81"/>
      <c r="F21" s="81"/>
      <c r="G21" s="81"/>
      <c r="H21" s="81"/>
      <c r="I21" s="86"/>
      <c r="J21" s="86"/>
      <c r="K21" s="81"/>
      <c r="L21" s="81">
        <v>0.036</v>
      </c>
      <c r="M21" s="81"/>
      <c r="N21" s="81"/>
      <c r="O21" s="81"/>
      <c r="P21" s="81">
        <v>19.702</v>
      </c>
      <c r="Q21" s="81"/>
      <c r="R21" s="81">
        <v>0.773</v>
      </c>
      <c r="S21" s="81"/>
      <c r="T21" s="81"/>
      <c r="U21" s="81">
        <v>7.171</v>
      </c>
      <c r="V21" s="86"/>
      <c r="W21" s="86"/>
      <c r="X21" s="86"/>
      <c r="Y21" s="81"/>
      <c r="Z21" s="81"/>
      <c r="AA21" s="81">
        <f>SUM(D21:Z21)</f>
        <v>27.682000000000002</v>
      </c>
      <c r="AB21" s="104">
        <f t="shared" si="4"/>
        <v>-404.006</v>
      </c>
      <c r="AC21" s="71"/>
      <c r="AD21" s="67" t="s">
        <v>23</v>
      </c>
      <c r="AE21" s="109">
        <f>AA23</f>
        <v>10717.372</v>
      </c>
      <c r="AG21" s="72"/>
    </row>
    <row r="22" spans="2:33" ht="15">
      <c r="B22" s="107" t="s">
        <v>24</v>
      </c>
      <c r="C22" s="108">
        <f>1581.729+1</f>
        <v>1582.729</v>
      </c>
      <c r="D22" s="81"/>
      <c r="E22" s="81">
        <v>35.078</v>
      </c>
      <c r="F22" s="81"/>
      <c r="G22" s="81">
        <v>26.093</v>
      </c>
      <c r="H22" s="81">
        <v>7.322</v>
      </c>
      <c r="I22" s="81">
        <v>11.98</v>
      </c>
      <c r="J22" s="81">
        <v>11.98</v>
      </c>
      <c r="K22" s="81"/>
      <c r="L22" s="81">
        <v>186.605</v>
      </c>
      <c r="M22" s="81">
        <v>2.853</v>
      </c>
      <c r="N22" s="81">
        <v>15.141</v>
      </c>
      <c r="O22" s="81"/>
      <c r="P22" s="81">
        <v>21.003</v>
      </c>
      <c r="Q22" s="81"/>
      <c r="R22" s="81">
        <v>157.717</v>
      </c>
      <c r="S22" s="81">
        <v>17.961</v>
      </c>
      <c r="T22" s="81"/>
      <c r="U22" s="81">
        <v>49.068</v>
      </c>
      <c r="V22" s="81"/>
      <c r="W22" s="81">
        <v>14.799</v>
      </c>
      <c r="X22" s="81"/>
      <c r="Y22" s="81"/>
      <c r="Z22" s="81"/>
      <c r="AA22" s="81">
        <f>SUM(D22:Z22)</f>
        <v>557.6</v>
      </c>
      <c r="AB22" s="104">
        <f t="shared" si="4"/>
        <v>-1025.129</v>
      </c>
      <c r="AC22" s="71"/>
      <c r="AD22" s="67" t="s">
        <v>25</v>
      </c>
      <c r="AE22" s="109">
        <f>$AA$29+$AA$31</f>
        <v>175.303</v>
      </c>
      <c r="AG22" s="72"/>
    </row>
    <row r="23" spans="1:40" s="66" customFormat="1" ht="15">
      <c r="A23" s="66">
        <v>7000</v>
      </c>
      <c r="B23" s="105" t="s">
        <v>26</v>
      </c>
      <c r="C23" s="106">
        <f aca="true" t="shared" si="6" ref="C23:AA23">SUM(C24:C28)</f>
        <v>16550.175</v>
      </c>
      <c r="D23" s="106">
        <f t="shared" si="6"/>
        <v>50</v>
      </c>
      <c r="E23" s="106">
        <f>SUM(E24:E28)</f>
        <v>729.5070000000001</v>
      </c>
      <c r="F23" s="106">
        <f t="shared" si="6"/>
        <v>0</v>
      </c>
      <c r="G23" s="106">
        <f t="shared" si="6"/>
        <v>58.875</v>
      </c>
      <c r="H23" s="106">
        <f t="shared" si="6"/>
        <v>0</v>
      </c>
      <c r="I23" s="106">
        <f t="shared" si="6"/>
        <v>177.702</v>
      </c>
      <c r="J23" s="106">
        <f t="shared" si="6"/>
        <v>2367.43</v>
      </c>
      <c r="K23" s="106">
        <f t="shared" si="6"/>
        <v>0</v>
      </c>
      <c r="L23" s="106">
        <f t="shared" si="6"/>
        <v>1265.4289999999999</v>
      </c>
      <c r="M23" s="106">
        <f t="shared" si="6"/>
        <v>0</v>
      </c>
      <c r="N23" s="106">
        <f t="shared" si="6"/>
        <v>179.973</v>
      </c>
      <c r="O23" s="106">
        <f t="shared" si="6"/>
        <v>0</v>
      </c>
      <c r="P23" s="106">
        <f t="shared" si="6"/>
        <v>300.002</v>
      </c>
      <c r="Q23" s="106">
        <f>SUM(Q24:Q28)</f>
        <v>0</v>
      </c>
      <c r="R23" s="106">
        <f t="shared" si="6"/>
        <v>150.913</v>
      </c>
      <c r="S23" s="106">
        <f t="shared" si="6"/>
        <v>3341.7549999999997</v>
      </c>
      <c r="T23" s="106">
        <f>SUM(T24:T28)</f>
        <v>0</v>
      </c>
      <c r="U23" s="106">
        <f>SUM(U24:U28)</f>
        <v>2188.4610000000002</v>
      </c>
      <c r="V23" s="106">
        <f t="shared" si="6"/>
        <v>0</v>
      </c>
      <c r="W23" s="106">
        <f t="shared" si="6"/>
        <v>-92.67500000000001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10717.372</v>
      </c>
      <c r="AB23" s="104">
        <f t="shared" si="4"/>
        <v>-5832.803</v>
      </c>
      <c r="AC23" s="65"/>
      <c r="AD23" s="67" t="s">
        <v>27</v>
      </c>
      <c r="AE23" s="109">
        <f>$AA$32+$AA$33+$AA$36+$AA$42+$AA$46+$AA$35+$AA$34</f>
        <v>1047.3749999999998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">
      <c r="B24" s="107" t="s">
        <v>20</v>
      </c>
      <c r="C24" s="108">
        <f>12195.063-3.5</f>
        <v>12191.563</v>
      </c>
      <c r="D24" s="81"/>
      <c r="E24" s="81">
        <f>307.365+340.701</f>
        <v>648.066</v>
      </c>
      <c r="F24" s="81"/>
      <c r="G24" s="81">
        <f>16.478</f>
        <v>16.478</v>
      </c>
      <c r="H24" s="81"/>
      <c r="I24" s="81">
        <f>74.889+9.2</f>
        <v>84.089</v>
      </c>
      <c r="J24" s="86">
        <f>1367.448+913.429</f>
        <v>2280.877</v>
      </c>
      <c r="K24" s="81"/>
      <c r="L24" s="81">
        <f>386.707+1.498+626.377</f>
        <v>1014.5819999999999</v>
      </c>
      <c r="M24" s="81"/>
      <c r="N24" s="81">
        <f>14.853+0.827</f>
        <v>15.68</v>
      </c>
      <c r="O24" s="81"/>
      <c r="P24" s="81"/>
      <c r="Q24" s="81"/>
      <c r="R24" s="81">
        <v>92.91</v>
      </c>
      <c r="S24" s="81">
        <f>1546.605+19.432+3.187+1278.544</f>
        <v>2847.768</v>
      </c>
      <c r="T24" s="81"/>
      <c r="U24" s="81">
        <f>1485.453+6.056+555.949</f>
        <v>2047.458</v>
      </c>
      <c r="V24" s="86"/>
      <c r="W24" s="86">
        <v>1.832</v>
      </c>
      <c r="X24" s="86"/>
      <c r="Y24" s="81"/>
      <c r="Z24" s="81"/>
      <c r="AA24" s="81">
        <f>SUM(D24:Z24)</f>
        <v>9049.74</v>
      </c>
      <c r="AB24" s="104">
        <f t="shared" si="4"/>
        <v>-3141.8230000000003</v>
      </c>
      <c r="AC24" s="71"/>
      <c r="AD24" s="67" t="s">
        <v>28</v>
      </c>
      <c r="AE24" s="109">
        <f>$AA$64+$AA$67+AA74</f>
        <v>1540.0010000000002</v>
      </c>
      <c r="AG24" s="72"/>
    </row>
    <row r="25" spans="2:33" ht="15">
      <c r="B25" s="107" t="s">
        <v>29</v>
      </c>
      <c r="C25" s="108">
        <v>12.728</v>
      </c>
      <c r="D25" s="81"/>
      <c r="E25" s="81"/>
      <c r="F25" s="81"/>
      <c r="G25" s="81"/>
      <c r="H25" s="81"/>
      <c r="I25" s="81"/>
      <c r="J25" s="86">
        <v>1.035</v>
      </c>
      <c r="K25" s="81"/>
      <c r="L25" s="81">
        <v>2.999</v>
      </c>
      <c r="M25" s="81"/>
      <c r="N25" s="81"/>
      <c r="O25" s="81"/>
      <c r="P25" s="81">
        <v>4.386</v>
      </c>
      <c r="Q25" s="81"/>
      <c r="R25" s="81"/>
      <c r="S25" s="81">
        <v>1.598</v>
      </c>
      <c r="T25" s="81"/>
      <c r="U25" s="81"/>
      <c r="V25" s="86"/>
      <c r="W25" s="86"/>
      <c r="X25" s="86"/>
      <c r="Y25" s="81"/>
      <c r="Z25" s="81"/>
      <c r="AA25" s="81">
        <f>SUM(D25:Z25)</f>
        <v>10.018</v>
      </c>
      <c r="AB25" s="104">
        <f t="shared" si="4"/>
        <v>-2.709999999999999</v>
      </c>
      <c r="AC25" s="71"/>
      <c r="AD25" s="67" t="s">
        <v>30</v>
      </c>
      <c r="AE25" s="109">
        <f>$AA$53</f>
        <v>470.591</v>
      </c>
      <c r="AG25" s="72"/>
    </row>
    <row r="26" spans="2:33" ht="15">
      <c r="B26" s="107" t="s">
        <v>31</v>
      </c>
      <c r="C26" s="108">
        <v>875.908</v>
      </c>
      <c r="D26" s="81"/>
      <c r="E26" s="81">
        <v>75.527</v>
      </c>
      <c r="F26" s="81"/>
      <c r="G26" s="81">
        <v>15.044</v>
      </c>
      <c r="H26" s="81"/>
      <c r="I26" s="81">
        <v>46.795</v>
      </c>
      <c r="J26" s="86">
        <v>64.494</v>
      </c>
      <c r="K26" s="81"/>
      <c r="L26" s="81">
        <v>167.135</v>
      </c>
      <c r="M26" s="81"/>
      <c r="N26" s="81">
        <v>54.486</v>
      </c>
      <c r="O26" s="81"/>
      <c r="P26" s="81">
        <v>133.923</v>
      </c>
      <c r="Q26" s="81"/>
      <c r="R26" s="81"/>
      <c r="S26" s="81">
        <v>61.895</v>
      </c>
      <c r="T26" s="81"/>
      <c r="U26" s="81">
        <v>69.037</v>
      </c>
      <c r="V26" s="86"/>
      <c r="W26" s="86"/>
      <c r="X26" s="86"/>
      <c r="Y26" s="81"/>
      <c r="Z26" s="81"/>
      <c r="AA26" s="81">
        <f>SUM(D26:Z26)</f>
        <v>688.336</v>
      </c>
      <c r="AB26" s="104">
        <f t="shared" si="4"/>
        <v>-187.572</v>
      </c>
      <c r="AC26" s="71"/>
      <c r="AD26" s="67" t="s">
        <v>32</v>
      </c>
      <c r="AE26" s="109">
        <f>$AA$58</f>
        <v>489.30722999999995</v>
      </c>
      <c r="AG26" s="72"/>
    </row>
    <row r="27" spans="2:33" ht="15">
      <c r="B27" s="107" t="s">
        <v>22</v>
      </c>
      <c r="C27" s="108">
        <v>1240.502</v>
      </c>
      <c r="D27" s="81"/>
      <c r="E27" s="81"/>
      <c r="F27" s="81"/>
      <c r="G27" s="81">
        <v>5.566</v>
      </c>
      <c r="H27" s="81"/>
      <c r="I27" s="81">
        <v>0.243</v>
      </c>
      <c r="J27" s="86">
        <v>10.977</v>
      </c>
      <c r="K27" s="81"/>
      <c r="L27" s="81">
        <v>11.831</v>
      </c>
      <c r="M27" s="81"/>
      <c r="N27" s="81">
        <v>41.97</v>
      </c>
      <c r="O27" s="81"/>
      <c r="P27" s="81">
        <v>134.725</v>
      </c>
      <c r="Q27" s="81"/>
      <c r="R27" s="81">
        <v>52.579</v>
      </c>
      <c r="S27" s="81">
        <v>251.274</v>
      </c>
      <c r="T27" s="81"/>
      <c r="U27" s="81">
        <v>6.077</v>
      </c>
      <c r="V27" s="86"/>
      <c r="W27" s="86">
        <v>0.899</v>
      </c>
      <c r="X27" s="86"/>
      <c r="Y27" s="81"/>
      <c r="Z27" s="81"/>
      <c r="AA27" s="81">
        <f>SUM(D27:Z27)</f>
        <v>516.1410000000001</v>
      </c>
      <c r="AB27" s="104">
        <f t="shared" si="4"/>
        <v>-724.3609999999999</v>
      </c>
      <c r="AC27" s="71"/>
      <c r="AD27" s="67" t="s">
        <v>33</v>
      </c>
      <c r="AE27" s="109">
        <f>$AA$50+$AA$71+$AA$76+$AA$77+$AA$81+$AA$73+$AA$75+$AA$78+$AA$79+$AA$80</f>
        <v>6852.9485</v>
      </c>
      <c r="AG27" s="72"/>
    </row>
    <row r="28" spans="2:33" ht="15">
      <c r="B28" s="107" t="s">
        <v>24</v>
      </c>
      <c r="C28" s="108">
        <v>2229.474</v>
      </c>
      <c r="D28" s="81">
        <v>50</v>
      </c>
      <c r="E28" s="81">
        <f>5.123+0.791</f>
        <v>5.914000000000001</v>
      </c>
      <c r="F28" s="81"/>
      <c r="G28" s="81">
        <v>21.787</v>
      </c>
      <c r="H28" s="81"/>
      <c r="I28" s="81">
        <f>33.825+12.75</f>
        <v>46.575</v>
      </c>
      <c r="J28" s="81">
        <v>10.047</v>
      </c>
      <c r="K28" s="81"/>
      <c r="L28" s="81">
        <v>68.882</v>
      </c>
      <c r="M28" s="81"/>
      <c r="N28" s="81">
        <v>67.837</v>
      </c>
      <c r="O28" s="81"/>
      <c r="P28" s="81">
        <f>16.733+10.235</f>
        <v>26.968</v>
      </c>
      <c r="Q28" s="81"/>
      <c r="R28" s="81">
        <v>5.424</v>
      </c>
      <c r="S28" s="81">
        <f>56.874+119.398+2.948</f>
        <v>179.22</v>
      </c>
      <c r="T28" s="81"/>
      <c r="U28" s="81">
        <f>53.123+12.766</f>
        <v>65.889</v>
      </c>
      <c r="V28" s="81"/>
      <c r="W28" s="81">
        <f>1.794-97.2</f>
        <v>-95.406</v>
      </c>
      <c r="X28" s="81"/>
      <c r="Y28" s="81"/>
      <c r="Z28" s="81"/>
      <c r="AA28" s="81">
        <f>SUM(D28:Z28)</f>
        <v>453.137</v>
      </c>
      <c r="AB28" s="104">
        <f t="shared" si="4"/>
        <v>-1776.3370000000002</v>
      </c>
      <c r="AC28" s="71"/>
      <c r="AE28" s="111"/>
      <c r="AG28" s="72"/>
    </row>
    <row r="29" spans="2:33" ht="27.75">
      <c r="B29" s="105" t="s">
        <v>34</v>
      </c>
      <c r="C29" s="106">
        <f>C30</f>
        <v>795.111</v>
      </c>
      <c r="D29" s="106">
        <f aca="true" t="shared" si="7" ref="D29:AA29">D30</f>
        <v>0</v>
      </c>
      <c r="E29" s="106">
        <f t="shared" si="7"/>
        <v>21.096</v>
      </c>
      <c r="F29" s="106">
        <f t="shared" si="7"/>
        <v>0</v>
      </c>
      <c r="G29" s="106">
        <f t="shared" si="7"/>
        <v>26.736</v>
      </c>
      <c r="H29" s="106">
        <f t="shared" si="7"/>
        <v>0</v>
      </c>
      <c r="I29" s="106">
        <f t="shared" si="7"/>
        <v>20.446</v>
      </c>
      <c r="J29" s="106">
        <f t="shared" si="7"/>
        <v>0</v>
      </c>
      <c r="K29" s="106">
        <f t="shared" si="7"/>
        <v>0</v>
      </c>
      <c r="L29" s="106">
        <f t="shared" si="7"/>
        <v>0</v>
      </c>
      <c r="M29" s="106">
        <f t="shared" si="7"/>
        <v>0</v>
      </c>
      <c r="N29" s="106">
        <f t="shared" si="7"/>
        <v>39.308</v>
      </c>
      <c r="O29" s="106">
        <f t="shared" si="7"/>
        <v>0</v>
      </c>
      <c r="P29" s="106">
        <f t="shared" si="7"/>
        <v>21.053</v>
      </c>
      <c r="Q29" s="106">
        <f>Q30</f>
        <v>0</v>
      </c>
      <c r="R29" s="106">
        <f>R30</f>
        <v>0</v>
      </c>
      <c r="S29" s="106">
        <f t="shared" si="7"/>
        <v>0</v>
      </c>
      <c r="T29" s="106">
        <f t="shared" si="7"/>
        <v>0</v>
      </c>
      <c r="U29" s="106">
        <f t="shared" si="7"/>
        <v>46.664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175.303</v>
      </c>
      <c r="AB29" s="104">
        <f t="shared" si="4"/>
        <v>-619.808</v>
      </c>
      <c r="AC29" s="71"/>
      <c r="AE29" s="111"/>
      <c r="AG29" s="72"/>
    </row>
    <row r="30" spans="2:31" ht="15">
      <c r="B30" s="112" t="s">
        <v>35</v>
      </c>
      <c r="C30" s="113">
        <v>795.111</v>
      </c>
      <c r="D30" s="86"/>
      <c r="E30" s="86">
        <v>21.096</v>
      </c>
      <c r="F30" s="86"/>
      <c r="G30" s="86">
        <v>26.736</v>
      </c>
      <c r="H30" s="86"/>
      <c r="I30" s="86">
        <v>20.446</v>
      </c>
      <c r="J30" s="86"/>
      <c r="K30" s="86"/>
      <c r="L30" s="86"/>
      <c r="M30" s="86"/>
      <c r="N30" s="86">
        <v>39.308</v>
      </c>
      <c r="O30" s="86"/>
      <c r="P30" s="86">
        <v>21.053</v>
      </c>
      <c r="Q30" s="86"/>
      <c r="R30" s="86"/>
      <c r="S30" s="86"/>
      <c r="T30" s="86"/>
      <c r="U30" s="86">
        <v>46.664</v>
      </c>
      <c r="V30" s="86"/>
      <c r="W30" s="86"/>
      <c r="X30" s="86"/>
      <c r="Y30" s="113"/>
      <c r="Z30" s="113"/>
      <c r="AA30" s="81">
        <f aca="true" t="shared" si="8" ref="AA30:AA35">SUM(D30:Z30)</f>
        <v>175.303</v>
      </c>
      <c r="AB30" s="104">
        <f t="shared" si="4"/>
        <v>-619.808</v>
      </c>
      <c r="AE30" s="111"/>
    </row>
    <row r="31" spans="2:31" ht="42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 t="shared" si="8"/>
        <v>0</v>
      </c>
      <c r="AB31" s="104">
        <f t="shared" si="4"/>
        <v>0</v>
      </c>
      <c r="AE31" s="111"/>
    </row>
    <row r="32" spans="1:40" s="66" customFormat="1" ht="27.75">
      <c r="A32" s="66" t="s">
        <v>37</v>
      </c>
      <c r="B32" s="105" t="s">
        <v>38</v>
      </c>
      <c r="C32" s="106">
        <f>610.958-88.2</f>
        <v>522.7579999999999</v>
      </c>
      <c r="D32" s="106"/>
      <c r="E32" s="106">
        <v>2.286</v>
      </c>
      <c r="F32" s="106"/>
      <c r="G32" s="106">
        <f>2.367+1.936</f>
        <v>4.303</v>
      </c>
      <c r="H32" s="106"/>
      <c r="I32" s="106">
        <v>1.2</v>
      </c>
      <c r="J32" s="106"/>
      <c r="K32" s="106"/>
      <c r="L32" s="106">
        <v>7.29</v>
      </c>
      <c r="M32" s="106"/>
      <c r="N32" s="106">
        <f>6.061+6.061</f>
        <v>12.122</v>
      </c>
      <c r="O32" s="106">
        <v>35.98</v>
      </c>
      <c r="P32" s="106">
        <v>37</v>
      </c>
      <c r="Q32" s="106"/>
      <c r="R32" s="106">
        <f>2.027+2.027</f>
        <v>4.054</v>
      </c>
      <c r="S32" s="106"/>
      <c r="T32" s="106"/>
      <c r="U32" s="106"/>
      <c r="V32" s="106"/>
      <c r="W32" s="106">
        <v>9.751</v>
      </c>
      <c r="X32" s="106"/>
      <c r="Y32" s="106"/>
      <c r="Z32" s="106"/>
      <c r="AA32" s="106">
        <f t="shared" si="8"/>
        <v>113.986</v>
      </c>
      <c r="AB32" s="104">
        <f t="shared" si="4"/>
        <v>-408.77199999999993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2">
      <c r="B33" s="105" t="s">
        <v>39</v>
      </c>
      <c r="C33" s="106">
        <v>727.206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>
        <v>115.55</v>
      </c>
      <c r="T33" s="114"/>
      <c r="U33" s="106"/>
      <c r="V33" s="106"/>
      <c r="W33" s="106"/>
      <c r="X33" s="106"/>
      <c r="Y33" s="106"/>
      <c r="Z33" s="106"/>
      <c r="AA33" s="106">
        <f t="shared" si="8"/>
        <v>115.55</v>
      </c>
      <c r="AB33" s="104">
        <f t="shared" si="4"/>
        <v>-611.6560000000001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42">
      <c r="B34" s="105" t="s">
        <v>40</v>
      </c>
      <c r="C34" s="106">
        <v>0.00059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14"/>
      <c r="U34" s="106"/>
      <c r="V34" s="106"/>
      <c r="W34" s="106"/>
      <c r="X34" s="106"/>
      <c r="Y34" s="106"/>
      <c r="Z34" s="106"/>
      <c r="AA34" s="106">
        <f t="shared" si="8"/>
        <v>0</v>
      </c>
      <c r="AB34" s="104">
        <f t="shared" si="4"/>
        <v>-0.00059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42">
      <c r="B35" s="105" t="s">
        <v>41</v>
      </c>
      <c r="C35" s="106">
        <v>27.777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>
        <f t="shared" si="8"/>
        <v>0</v>
      </c>
      <c r="AB35" s="104">
        <f t="shared" si="4"/>
        <v>-27.777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">
      <c r="B36" s="105" t="s">
        <v>42</v>
      </c>
      <c r="C36" s="106">
        <f>SUM(C37:C41)</f>
        <v>658.4319999999999</v>
      </c>
      <c r="D36" s="106">
        <f>SUM(D37:D41)</f>
        <v>0</v>
      </c>
      <c r="E36" s="106">
        <f>SUM(E37:E41)</f>
        <v>0</v>
      </c>
      <c r="F36" s="106">
        <f>SUM(F37:F41)</f>
        <v>0</v>
      </c>
      <c r="G36" s="106">
        <f aca="true" t="shared" si="9" ref="G36:S36">SUM(G37:G41)</f>
        <v>9.339</v>
      </c>
      <c r="H36" s="106">
        <f t="shared" si="9"/>
        <v>0</v>
      </c>
      <c r="I36" s="106">
        <f t="shared" si="9"/>
        <v>0</v>
      </c>
      <c r="J36" s="106">
        <f t="shared" si="9"/>
        <v>167.669</v>
      </c>
      <c r="K36" s="106">
        <f t="shared" si="9"/>
        <v>0</v>
      </c>
      <c r="L36" s="106">
        <f t="shared" si="9"/>
        <v>0</v>
      </c>
      <c r="M36" s="106">
        <f t="shared" si="9"/>
        <v>0</v>
      </c>
      <c r="N36" s="106">
        <f t="shared" si="9"/>
        <v>0</v>
      </c>
      <c r="O36" s="106">
        <f t="shared" si="9"/>
        <v>0</v>
      </c>
      <c r="P36" s="106">
        <f t="shared" si="9"/>
        <v>6.789</v>
      </c>
      <c r="Q36" s="106">
        <f t="shared" si="9"/>
        <v>0</v>
      </c>
      <c r="R36" s="106">
        <f t="shared" si="9"/>
        <v>0</v>
      </c>
      <c r="S36" s="106">
        <f t="shared" si="9"/>
        <v>0</v>
      </c>
      <c r="T36" s="106">
        <f>SUM(T37:T41)</f>
        <v>0</v>
      </c>
      <c r="U36" s="106">
        <f>SUM(U37:U41)</f>
        <v>403.47799999999995</v>
      </c>
      <c r="V36" s="106">
        <f aca="true" t="shared" si="10" ref="V36:AA36">SUM(V37:V41)</f>
        <v>0</v>
      </c>
      <c r="W36" s="106">
        <f t="shared" si="10"/>
        <v>0</v>
      </c>
      <c r="X36" s="106">
        <f t="shared" si="10"/>
        <v>0</v>
      </c>
      <c r="Y36" s="106">
        <f t="shared" si="10"/>
        <v>0</v>
      </c>
      <c r="Z36" s="106">
        <f>SUM(Z37:Z41)</f>
        <v>0</v>
      </c>
      <c r="AA36" s="106">
        <f t="shared" si="10"/>
        <v>587.275</v>
      </c>
      <c r="AB36" s="104">
        <f t="shared" si="4"/>
        <v>-71.15699999999993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">
      <c r="B37" s="107" t="s">
        <v>20</v>
      </c>
      <c r="C37" s="108">
        <f>480.484+88.2</f>
        <v>568.684</v>
      </c>
      <c r="D37" s="81"/>
      <c r="E37" s="81"/>
      <c r="F37" s="81"/>
      <c r="G37" s="81"/>
      <c r="H37" s="81"/>
      <c r="I37" s="81"/>
      <c r="J37" s="86">
        <v>166.803</v>
      </c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>
        <v>401.777</v>
      </c>
      <c r="V37" s="86"/>
      <c r="W37" s="86"/>
      <c r="X37" s="81"/>
      <c r="Y37" s="81"/>
      <c r="Z37" s="81"/>
      <c r="AA37" s="81">
        <f>SUM(D37:Z37)</f>
        <v>568.5799999999999</v>
      </c>
      <c r="AB37" s="104">
        <f t="shared" si="4"/>
        <v>-0.10400000000004184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">
      <c r="B38" s="107" t="s">
        <v>29</v>
      </c>
      <c r="C38" s="108">
        <v>5.929</v>
      </c>
      <c r="D38" s="81"/>
      <c r="E38" s="81"/>
      <c r="F38" s="81"/>
      <c r="G38" s="81"/>
      <c r="H38" s="81"/>
      <c r="I38" s="81"/>
      <c r="J38" s="86"/>
      <c r="K38" s="81"/>
      <c r="L38" s="81"/>
      <c r="M38" s="81"/>
      <c r="N38" s="81"/>
      <c r="O38" s="81"/>
      <c r="P38" s="110">
        <v>2.788</v>
      </c>
      <c r="Q38" s="81"/>
      <c r="R38" s="110"/>
      <c r="S38" s="81"/>
      <c r="T38" s="81"/>
      <c r="U38" s="81">
        <v>0.878</v>
      </c>
      <c r="V38" s="86"/>
      <c r="W38" s="86"/>
      <c r="X38" s="81"/>
      <c r="Y38" s="81"/>
      <c r="Z38" s="81"/>
      <c r="AA38" s="81">
        <f>SUM(D38:Z38)</f>
        <v>3.666</v>
      </c>
      <c r="AB38" s="104">
        <f t="shared" si="4"/>
        <v>-2.2630000000000003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">
      <c r="B39" s="107" t="s">
        <v>31</v>
      </c>
      <c r="C39" s="108">
        <v>3.3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10"/>
      <c r="Q39" s="81"/>
      <c r="R39" s="110"/>
      <c r="S39" s="81"/>
      <c r="T39" s="81"/>
      <c r="U39" s="81"/>
      <c r="V39" s="86"/>
      <c r="W39" s="86"/>
      <c r="X39" s="81"/>
      <c r="Y39" s="81"/>
      <c r="Z39" s="81"/>
      <c r="AA39" s="81">
        <f>SUM(D39:Z39)</f>
        <v>0</v>
      </c>
      <c r="AB39" s="104">
        <f t="shared" si="4"/>
        <v>-3.3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">
      <c r="B40" s="107" t="s">
        <v>22</v>
      </c>
      <c r="C40" s="108">
        <v>37.634</v>
      </c>
      <c r="D40" s="81"/>
      <c r="E40" s="81"/>
      <c r="F40" s="81"/>
      <c r="G40" s="81">
        <v>1.693</v>
      </c>
      <c r="H40" s="81"/>
      <c r="I40" s="81"/>
      <c r="J40" s="81"/>
      <c r="K40" s="81"/>
      <c r="L40" s="81"/>
      <c r="M40" s="81"/>
      <c r="N40" s="81"/>
      <c r="O40" s="81"/>
      <c r="P40" s="110">
        <v>3.853</v>
      </c>
      <c r="Q40" s="81"/>
      <c r="R40" s="110"/>
      <c r="S40" s="81"/>
      <c r="T40" s="81"/>
      <c r="U40" s="81"/>
      <c r="V40" s="86"/>
      <c r="W40" s="86"/>
      <c r="X40" s="81"/>
      <c r="Y40" s="81"/>
      <c r="Z40" s="81"/>
      <c r="AA40" s="81">
        <f>SUM(D40:Z40)</f>
        <v>5.546</v>
      </c>
      <c r="AB40" s="104">
        <f t="shared" si="4"/>
        <v>-32.088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">
      <c r="B41" s="107" t="s">
        <v>24</v>
      </c>
      <c r="C41" s="108">
        <v>42.885</v>
      </c>
      <c r="D41" s="81"/>
      <c r="E41" s="81"/>
      <c r="F41" s="81"/>
      <c r="G41" s="81">
        <v>7.646</v>
      </c>
      <c r="H41" s="81"/>
      <c r="I41" s="81"/>
      <c r="J41" s="81">
        <v>0.866</v>
      </c>
      <c r="K41" s="81"/>
      <c r="L41" s="81"/>
      <c r="M41" s="81"/>
      <c r="N41" s="81"/>
      <c r="O41" s="81"/>
      <c r="P41" s="81">
        <v>0.148</v>
      </c>
      <c r="Q41" s="81"/>
      <c r="R41" s="81"/>
      <c r="S41" s="81"/>
      <c r="T41" s="81"/>
      <c r="U41" s="81">
        <v>0.823</v>
      </c>
      <c r="V41" s="81"/>
      <c r="W41" s="81"/>
      <c r="X41" s="81"/>
      <c r="Y41" s="81"/>
      <c r="Z41" s="81"/>
      <c r="AA41" s="81">
        <f>SUM(D41:Z41)</f>
        <v>9.483</v>
      </c>
      <c r="AB41" s="104">
        <f t="shared" si="4"/>
        <v>-33.402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">
      <c r="B42" s="105" t="s">
        <v>43</v>
      </c>
      <c r="C42" s="106">
        <f aca="true" t="shared" si="11" ref="C42:S42">SUM(C43:C45)</f>
        <v>427.996</v>
      </c>
      <c r="D42" s="106">
        <f t="shared" si="11"/>
        <v>0</v>
      </c>
      <c r="E42" s="106">
        <f t="shared" si="11"/>
        <v>0</v>
      </c>
      <c r="F42" s="106">
        <f t="shared" si="11"/>
        <v>0</v>
      </c>
      <c r="G42" s="106">
        <f t="shared" si="11"/>
        <v>0</v>
      </c>
      <c r="H42" s="106">
        <f t="shared" si="11"/>
        <v>0</v>
      </c>
      <c r="I42" s="106">
        <f t="shared" si="11"/>
        <v>0</v>
      </c>
      <c r="J42" s="106">
        <f t="shared" si="11"/>
        <v>47.855000000000004</v>
      </c>
      <c r="K42" s="106">
        <f t="shared" si="11"/>
        <v>0</v>
      </c>
      <c r="L42" s="106">
        <f t="shared" si="11"/>
        <v>0</v>
      </c>
      <c r="M42" s="106">
        <f t="shared" si="11"/>
        <v>0</v>
      </c>
      <c r="N42" s="106">
        <f t="shared" si="11"/>
        <v>1.639</v>
      </c>
      <c r="O42" s="106">
        <f t="shared" si="11"/>
        <v>0</v>
      </c>
      <c r="P42" s="106">
        <f t="shared" si="11"/>
        <v>0</v>
      </c>
      <c r="Q42" s="106">
        <f t="shared" si="11"/>
        <v>0</v>
      </c>
      <c r="R42" s="106">
        <f t="shared" si="11"/>
        <v>0</v>
      </c>
      <c r="S42" s="106">
        <f t="shared" si="11"/>
        <v>0</v>
      </c>
      <c r="T42" s="106">
        <f>SUM(T43:T45)</f>
        <v>0</v>
      </c>
      <c r="U42" s="106">
        <f>SUM(U43:U45)</f>
        <v>96.739</v>
      </c>
      <c r="V42" s="106">
        <f aca="true" t="shared" si="12" ref="V42:AA42">SUM(V43:V45)</f>
        <v>0</v>
      </c>
      <c r="W42" s="106">
        <f t="shared" si="12"/>
        <v>0</v>
      </c>
      <c r="X42" s="106">
        <f t="shared" si="12"/>
        <v>0</v>
      </c>
      <c r="Y42" s="106">
        <f t="shared" si="12"/>
        <v>0</v>
      </c>
      <c r="Z42" s="106">
        <f>SUM(Z43:Z45)</f>
        <v>0</v>
      </c>
      <c r="AA42" s="106">
        <f t="shared" si="12"/>
        <v>146.233</v>
      </c>
      <c r="AB42" s="104">
        <f t="shared" si="4"/>
        <v>-281.763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">
      <c r="B43" s="107" t="s">
        <v>20</v>
      </c>
      <c r="C43" s="108">
        <v>399.199</v>
      </c>
      <c r="D43" s="81"/>
      <c r="E43" s="81"/>
      <c r="F43" s="81"/>
      <c r="G43" s="81"/>
      <c r="H43" s="81"/>
      <c r="I43" s="81"/>
      <c r="J43" s="86">
        <v>42.134</v>
      </c>
      <c r="K43" s="81"/>
      <c r="L43" s="81"/>
      <c r="M43" s="81"/>
      <c r="N43" s="81"/>
      <c r="O43" s="81"/>
      <c r="P43" s="110"/>
      <c r="Q43" s="81"/>
      <c r="R43" s="110"/>
      <c r="S43" s="81"/>
      <c r="T43" s="81"/>
      <c r="U43" s="81">
        <v>95.839</v>
      </c>
      <c r="V43" s="86"/>
      <c r="W43" s="86"/>
      <c r="X43" s="81"/>
      <c r="Y43" s="81"/>
      <c r="Z43" s="81"/>
      <c r="AA43" s="81">
        <f>SUM(D43:Z43)</f>
        <v>137.973</v>
      </c>
      <c r="AB43" s="104">
        <f t="shared" si="4"/>
        <v>-261.226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">
      <c r="B44" s="107" t="s">
        <v>22</v>
      </c>
      <c r="C44" s="108">
        <v>19.592</v>
      </c>
      <c r="D44" s="81"/>
      <c r="E44" s="81"/>
      <c r="F44" s="81"/>
      <c r="G44" s="81"/>
      <c r="H44" s="81"/>
      <c r="I44" s="81"/>
      <c r="J44" s="86"/>
      <c r="K44" s="81"/>
      <c r="L44" s="81"/>
      <c r="M44" s="81"/>
      <c r="N44" s="81">
        <v>1.539</v>
      </c>
      <c r="O44" s="81"/>
      <c r="P44" s="81"/>
      <c r="Q44" s="81"/>
      <c r="R44" s="81"/>
      <c r="S44" s="81"/>
      <c r="T44" s="81"/>
      <c r="U44" s="81"/>
      <c r="V44" s="86"/>
      <c r="W44" s="86"/>
      <c r="X44" s="81"/>
      <c r="Y44" s="81"/>
      <c r="Z44" s="81"/>
      <c r="AA44" s="81">
        <f>SUM(D44:Z44)</f>
        <v>1.539</v>
      </c>
      <c r="AB44" s="104">
        <f t="shared" si="4"/>
        <v>-18.052999999999997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">
      <c r="B45" s="107" t="s">
        <v>24</v>
      </c>
      <c r="C45" s="108">
        <v>9.205</v>
      </c>
      <c r="D45" s="81"/>
      <c r="E45" s="81"/>
      <c r="F45" s="81"/>
      <c r="G45" s="81"/>
      <c r="H45" s="81"/>
      <c r="I45" s="81"/>
      <c r="J45" s="81">
        <v>5.721</v>
      </c>
      <c r="K45" s="81"/>
      <c r="L45" s="81"/>
      <c r="M45" s="81"/>
      <c r="N45" s="81">
        <v>0.1</v>
      </c>
      <c r="O45" s="81"/>
      <c r="P45" s="81"/>
      <c r="Q45" s="81"/>
      <c r="R45" s="81"/>
      <c r="S45" s="81"/>
      <c r="T45" s="81"/>
      <c r="U45" s="81">
        <v>0.9</v>
      </c>
      <c r="V45" s="81"/>
      <c r="W45" s="81"/>
      <c r="X45" s="81"/>
      <c r="Y45" s="81"/>
      <c r="Z45" s="81"/>
      <c r="AA45" s="81">
        <f>SUM(D45:Z45)</f>
        <v>6.721</v>
      </c>
      <c r="AB45" s="104">
        <f t="shared" si="4"/>
        <v>-2.484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">
      <c r="B46" s="105" t="s">
        <v>44</v>
      </c>
      <c r="C46" s="106">
        <f aca="true" t="shared" si="13" ref="C46:Y46">SUM(C47:C49)</f>
        <v>341.729</v>
      </c>
      <c r="D46" s="106">
        <f t="shared" si="13"/>
        <v>0</v>
      </c>
      <c r="E46" s="106">
        <f t="shared" si="13"/>
        <v>6.396</v>
      </c>
      <c r="F46" s="106">
        <f t="shared" si="13"/>
        <v>0</v>
      </c>
      <c r="G46" s="106">
        <f t="shared" si="13"/>
        <v>0</v>
      </c>
      <c r="H46" s="106">
        <f t="shared" si="13"/>
        <v>0</v>
      </c>
      <c r="I46" s="106">
        <f t="shared" si="13"/>
        <v>0</v>
      </c>
      <c r="J46" s="106">
        <f t="shared" si="13"/>
        <v>47.254</v>
      </c>
      <c r="K46" s="106">
        <f t="shared" si="13"/>
        <v>0</v>
      </c>
      <c r="L46" s="106">
        <f t="shared" si="13"/>
        <v>0</v>
      </c>
      <c r="M46" s="106">
        <f t="shared" si="13"/>
        <v>0</v>
      </c>
      <c r="N46" s="106">
        <f t="shared" si="13"/>
        <v>2.42</v>
      </c>
      <c r="O46" s="106">
        <f t="shared" si="13"/>
        <v>0</v>
      </c>
      <c r="P46" s="106">
        <f t="shared" si="13"/>
        <v>0</v>
      </c>
      <c r="Q46" s="106">
        <f t="shared" si="13"/>
        <v>0</v>
      </c>
      <c r="R46" s="106">
        <f t="shared" si="13"/>
        <v>0</v>
      </c>
      <c r="S46" s="106">
        <f t="shared" si="13"/>
        <v>25.261</v>
      </c>
      <c r="T46" s="106">
        <f>SUM(T47:T49)</f>
        <v>0</v>
      </c>
      <c r="U46" s="106">
        <f t="shared" si="13"/>
        <v>3</v>
      </c>
      <c r="V46" s="106">
        <f t="shared" si="13"/>
        <v>0</v>
      </c>
      <c r="W46" s="106">
        <f t="shared" si="13"/>
        <v>0</v>
      </c>
      <c r="X46" s="106">
        <f t="shared" si="13"/>
        <v>0</v>
      </c>
      <c r="Y46" s="106">
        <f t="shared" si="13"/>
        <v>0</v>
      </c>
      <c r="Z46" s="106">
        <f>SUM(Z47:Z49)</f>
        <v>0</v>
      </c>
      <c r="AA46" s="106">
        <f>SUM(D46:Y46)</f>
        <v>84.331</v>
      </c>
      <c r="AB46" s="104">
        <f t="shared" si="4"/>
        <v>-257.39799999999997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">
      <c r="B47" s="107" t="s">
        <v>20</v>
      </c>
      <c r="C47" s="108">
        <v>329.875</v>
      </c>
      <c r="D47" s="81"/>
      <c r="E47" s="81">
        <v>6.396</v>
      </c>
      <c r="F47" s="81"/>
      <c r="G47" s="81"/>
      <c r="H47" s="81"/>
      <c r="I47" s="81"/>
      <c r="J47" s="86">
        <v>47.254</v>
      </c>
      <c r="K47" s="81"/>
      <c r="L47" s="81"/>
      <c r="M47" s="81"/>
      <c r="N47" s="81"/>
      <c r="O47" s="81"/>
      <c r="P47" s="81"/>
      <c r="Q47" s="81"/>
      <c r="R47" s="81"/>
      <c r="S47" s="81">
        <v>25.261</v>
      </c>
      <c r="T47" s="81"/>
      <c r="U47" s="81"/>
      <c r="V47" s="86"/>
      <c r="W47" s="86"/>
      <c r="X47" s="86"/>
      <c r="Y47" s="86"/>
      <c r="Z47" s="86"/>
      <c r="AA47" s="81">
        <f>SUM(D47:Z47)</f>
        <v>78.911</v>
      </c>
      <c r="AB47" s="104">
        <f t="shared" si="4"/>
        <v>-250.964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">
      <c r="B48" s="107" t="s">
        <v>22</v>
      </c>
      <c r="C48" s="108">
        <v>6.001</v>
      </c>
      <c r="D48" s="81"/>
      <c r="E48" s="81"/>
      <c r="F48" s="81"/>
      <c r="G48" s="81"/>
      <c r="H48" s="81"/>
      <c r="I48" s="81"/>
      <c r="J48" s="86"/>
      <c r="K48" s="81"/>
      <c r="L48" s="81"/>
      <c r="M48" s="81"/>
      <c r="N48" s="81"/>
      <c r="O48" s="81"/>
      <c r="P48" s="110"/>
      <c r="Q48" s="81"/>
      <c r="R48" s="110"/>
      <c r="S48" s="81"/>
      <c r="T48" s="81"/>
      <c r="U48" s="81"/>
      <c r="V48" s="86"/>
      <c r="W48" s="81"/>
      <c r="X48" s="86"/>
      <c r="Y48" s="86"/>
      <c r="Z48" s="86"/>
      <c r="AA48" s="81">
        <f>SUM(D48:Z48)</f>
        <v>0</v>
      </c>
      <c r="AB48" s="104">
        <f t="shared" si="4"/>
        <v>-6.001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2:40" s="66" customFormat="1" ht="15">
      <c r="B49" s="107" t="s">
        <v>24</v>
      </c>
      <c r="C49" s="108">
        <v>5.853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>
        <v>2.42</v>
      </c>
      <c r="O49" s="81"/>
      <c r="P49" s="81"/>
      <c r="Q49" s="81"/>
      <c r="R49" s="81"/>
      <c r="S49" s="81"/>
      <c r="T49" s="81"/>
      <c r="U49" s="81">
        <v>3</v>
      </c>
      <c r="V49" s="81"/>
      <c r="W49" s="81"/>
      <c r="X49" s="81"/>
      <c r="Y49" s="81"/>
      <c r="Z49" s="81"/>
      <c r="AA49" s="81">
        <f>SUM(D49:Z49)</f>
        <v>5.42</v>
      </c>
      <c r="AB49" s="104">
        <f t="shared" si="4"/>
        <v>-0.43299999999999983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1:40" s="66" customFormat="1" ht="15">
      <c r="A50" s="66">
        <v>90501</v>
      </c>
      <c r="B50" s="105" t="s">
        <v>45</v>
      </c>
      <c r="C50" s="106">
        <f>C51+C52</f>
        <v>127.75399999999999</v>
      </c>
      <c r="D50" s="106">
        <f aca="true" t="shared" si="14" ref="D50:Y50">D51+D52</f>
        <v>0</v>
      </c>
      <c r="E50" s="106">
        <f t="shared" si="14"/>
        <v>0</v>
      </c>
      <c r="F50" s="106">
        <f t="shared" si="14"/>
        <v>0</v>
      </c>
      <c r="G50" s="106">
        <f t="shared" si="14"/>
        <v>0</v>
      </c>
      <c r="H50" s="106">
        <f t="shared" si="14"/>
        <v>0</v>
      </c>
      <c r="I50" s="106">
        <f t="shared" si="14"/>
        <v>0</v>
      </c>
      <c r="J50" s="106">
        <f t="shared" si="14"/>
        <v>4.2</v>
      </c>
      <c r="K50" s="106">
        <f t="shared" si="14"/>
        <v>0</v>
      </c>
      <c r="L50" s="106">
        <f t="shared" si="14"/>
        <v>0</v>
      </c>
      <c r="M50" s="106">
        <f t="shared" si="14"/>
        <v>0</v>
      </c>
      <c r="N50" s="106">
        <f t="shared" si="14"/>
        <v>0</v>
      </c>
      <c r="O50" s="106">
        <f t="shared" si="14"/>
        <v>0</v>
      </c>
      <c r="P50" s="106">
        <f t="shared" si="14"/>
        <v>2.479</v>
      </c>
      <c r="Q50" s="106">
        <f t="shared" si="14"/>
        <v>0</v>
      </c>
      <c r="R50" s="106">
        <f t="shared" si="14"/>
        <v>0</v>
      </c>
      <c r="S50" s="106">
        <f t="shared" si="14"/>
        <v>0</v>
      </c>
      <c r="T50" s="106">
        <f>T51+T52</f>
        <v>0</v>
      </c>
      <c r="U50" s="106">
        <f>U51+U52</f>
        <v>13.463000000000001</v>
      </c>
      <c r="V50" s="106">
        <f t="shared" si="14"/>
        <v>0</v>
      </c>
      <c r="W50" s="106">
        <f t="shared" si="14"/>
        <v>0</v>
      </c>
      <c r="X50" s="106">
        <f t="shared" si="14"/>
        <v>0</v>
      </c>
      <c r="Y50" s="106">
        <f t="shared" si="14"/>
        <v>0</v>
      </c>
      <c r="Z50" s="106">
        <f>Z51+Z52</f>
        <v>0</v>
      </c>
      <c r="AA50" s="106">
        <f>SUM(D50:Y50)</f>
        <v>20.142000000000003</v>
      </c>
      <c r="AB50" s="104">
        <f t="shared" si="4"/>
        <v>-107.612</v>
      </c>
      <c r="AD50" s="72"/>
      <c r="AE50" s="111"/>
      <c r="AF50" s="67"/>
      <c r="AG50" s="68"/>
      <c r="AH50" s="68"/>
      <c r="AI50" s="68"/>
      <c r="AJ50" s="68"/>
      <c r="AK50" s="68"/>
      <c r="AL50" s="68"/>
      <c r="AM50" s="68"/>
      <c r="AN50" s="68"/>
    </row>
    <row r="51" spans="2:40" s="115" customFormat="1" ht="15">
      <c r="B51" s="107" t="s">
        <v>20</v>
      </c>
      <c r="C51" s="113">
        <v>84.375</v>
      </c>
      <c r="D51" s="86"/>
      <c r="E51" s="86"/>
      <c r="F51" s="86"/>
      <c r="G51" s="86"/>
      <c r="H51" s="86"/>
      <c r="I51" s="86"/>
      <c r="J51" s="86">
        <v>4.2</v>
      </c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>
        <v>11.486</v>
      </c>
      <c r="V51" s="86"/>
      <c r="W51" s="86"/>
      <c r="X51" s="86"/>
      <c r="Y51" s="86"/>
      <c r="Z51" s="86"/>
      <c r="AA51" s="81">
        <f>SUM(D51:Z51)</f>
        <v>15.686</v>
      </c>
      <c r="AB51" s="104">
        <f t="shared" si="4"/>
        <v>-68.689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2:40" s="115" customFormat="1" ht="15">
      <c r="B52" s="107" t="s">
        <v>35</v>
      </c>
      <c r="C52" s="113">
        <v>43.379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>
        <v>2.479</v>
      </c>
      <c r="Q52" s="86"/>
      <c r="R52" s="86"/>
      <c r="S52" s="86"/>
      <c r="T52" s="86"/>
      <c r="U52" s="86">
        <v>1.977</v>
      </c>
      <c r="V52" s="86"/>
      <c r="W52" s="86"/>
      <c r="X52" s="86"/>
      <c r="Y52" s="86"/>
      <c r="Z52" s="86"/>
      <c r="AA52" s="81">
        <f>SUM(D52:Z52)</f>
        <v>4.456</v>
      </c>
      <c r="AB52" s="104">
        <f t="shared" si="4"/>
        <v>-38.922999999999995</v>
      </c>
      <c r="AD52" s="96"/>
      <c r="AE52" s="95"/>
      <c r="AF52" s="116"/>
      <c r="AG52" s="117"/>
      <c r="AH52" s="117"/>
      <c r="AI52" s="117"/>
      <c r="AJ52" s="117"/>
      <c r="AK52" s="117"/>
      <c r="AL52" s="117"/>
      <c r="AM52" s="117"/>
      <c r="AN52" s="117"/>
    </row>
    <row r="53" spans="1:40" s="66" customFormat="1" ht="15">
      <c r="A53" s="66">
        <v>110000</v>
      </c>
      <c r="B53" s="105" t="s">
        <v>46</v>
      </c>
      <c r="C53" s="106">
        <f aca="true" t="shared" si="15" ref="C53:AA53">SUM(C54:C57)</f>
        <v>854.104</v>
      </c>
      <c r="D53" s="106">
        <f t="shared" si="15"/>
        <v>0</v>
      </c>
      <c r="E53" s="106">
        <f t="shared" si="15"/>
        <v>2.042</v>
      </c>
      <c r="F53" s="106">
        <f t="shared" si="15"/>
        <v>0</v>
      </c>
      <c r="G53" s="106">
        <f t="shared" si="15"/>
        <v>5.232</v>
      </c>
      <c r="H53" s="106">
        <f t="shared" si="15"/>
        <v>0</v>
      </c>
      <c r="I53" s="106">
        <f t="shared" si="15"/>
        <v>0</v>
      </c>
      <c r="J53" s="106">
        <f t="shared" si="15"/>
        <v>154.20000000000002</v>
      </c>
      <c r="K53" s="106">
        <f t="shared" si="15"/>
        <v>0</v>
      </c>
      <c r="L53" s="106">
        <f t="shared" si="15"/>
        <v>0.194</v>
      </c>
      <c r="M53" s="106">
        <f t="shared" si="15"/>
        <v>0</v>
      </c>
      <c r="N53" s="106">
        <f t="shared" si="15"/>
        <v>11.83</v>
      </c>
      <c r="O53" s="106">
        <f t="shared" si="15"/>
        <v>0</v>
      </c>
      <c r="P53" s="106">
        <f t="shared" si="15"/>
        <v>4.792</v>
      </c>
      <c r="Q53" s="106">
        <f t="shared" si="15"/>
        <v>0</v>
      </c>
      <c r="R53" s="106">
        <f t="shared" si="15"/>
        <v>0</v>
      </c>
      <c r="S53" s="106">
        <f t="shared" si="15"/>
        <v>0</v>
      </c>
      <c r="T53" s="106">
        <f>SUM(T54:T57)</f>
        <v>0</v>
      </c>
      <c r="U53" s="106">
        <f t="shared" si="15"/>
        <v>290.79900000000004</v>
      </c>
      <c r="V53" s="106">
        <f t="shared" si="15"/>
        <v>0</v>
      </c>
      <c r="W53" s="106">
        <f t="shared" si="15"/>
        <v>1.502</v>
      </c>
      <c r="X53" s="106">
        <f t="shared" si="15"/>
        <v>0</v>
      </c>
      <c r="Y53" s="106">
        <f t="shared" si="15"/>
        <v>0</v>
      </c>
      <c r="Z53" s="106">
        <f>SUM(Z54:Z57)</f>
        <v>0</v>
      </c>
      <c r="AA53" s="106">
        <f t="shared" si="15"/>
        <v>470.591</v>
      </c>
      <c r="AB53" s="104">
        <f t="shared" si="4"/>
        <v>-383.51300000000003</v>
      </c>
      <c r="AC53" s="69"/>
      <c r="AD53" s="67"/>
      <c r="AE53" s="67"/>
      <c r="AF53" s="67"/>
      <c r="AG53" s="68"/>
      <c r="AH53" s="68"/>
      <c r="AI53" s="68"/>
      <c r="AJ53" s="68"/>
      <c r="AK53" s="68"/>
      <c r="AL53" s="68"/>
      <c r="AM53" s="68"/>
      <c r="AN53" s="68"/>
    </row>
    <row r="54" spans="2:28" ht="15">
      <c r="B54" s="107" t="s">
        <v>20</v>
      </c>
      <c r="C54" s="108">
        <f>663.986-0.8</f>
        <v>663.186</v>
      </c>
      <c r="D54" s="81"/>
      <c r="E54" s="81">
        <v>2.042</v>
      </c>
      <c r="F54" s="81"/>
      <c r="G54" s="81"/>
      <c r="H54" s="81"/>
      <c r="I54" s="81"/>
      <c r="J54" s="86">
        <v>152.83</v>
      </c>
      <c r="K54" s="81"/>
      <c r="L54" s="81"/>
      <c r="M54" s="81"/>
      <c r="N54" s="81"/>
      <c r="O54" s="81"/>
      <c r="P54" s="110"/>
      <c r="Q54" s="81"/>
      <c r="R54" s="110"/>
      <c r="S54" s="81"/>
      <c r="T54" s="81"/>
      <c r="U54" s="81">
        <v>284.5</v>
      </c>
      <c r="V54" s="86"/>
      <c r="W54" s="86">
        <v>1.2</v>
      </c>
      <c r="X54" s="86"/>
      <c r="Y54" s="81"/>
      <c r="Z54" s="81"/>
      <c r="AA54" s="81">
        <f>SUM(D54:Z54)</f>
        <v>440.572</v>
      </c>
      <c r="AB54" s="104">
        <f t="shared" si="4"/>
        <v>-222.61400000000003</v>
      </c>
    </row>
    <row r="55" spans="2:28" ht="15">
      <c r="B55" s="107" t="s">
        <v>22</v>
      </c>
      <c r="C55" s="108">
        <v>95.005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>
        <v>4.577</v>
      </c>
      <c r="Q55" s="81"/>
      <c r="R55" s="110"/>
      <c r="S55" s="81"/>
      <c r="T55" s="81"/>
      <c r="U55" s="81">
        <v>0.119</v>
      </c>
      <c r="V55" s="86"/>
      <c r="W55" s="86"/>
      <c r="X55" s="86"/>
      <c r="Y55" s="81"/>
      <c r="Z55" s="81"/>
      <c r="AA55" s="81">
        <f>SUM(D55:Z55)</f>
        <v>4.696</v>
      </c>
      <c r="AB55" s="104">
        <f t="shared" si="4"/>
        <v>-90.309</v>
      </c>
    </row>
    <row r="56" spans="2:28" ht="15">
      <c r="B56" s="107" t="s">
        <v>47</v>
      </c>
      <c r="C56" s="108">
        <v>5.28</v>
      </c>
      <c r="D56" s="81"/>
      <c r="E56" s="81"/>
      <c r="F56" s="81"/>
      <c r="G56" s="81"/>
      <c r="H56" s="81"/>
      <c r="I56" s="81"/>
      <c r="J56" s="86"/>
      <c r="K56" s="81"/>
      <c r="L56" s="81"/>
      <c r="M56" s="81"/>
      <c r="N56" s="81"/>
      <c r="O56" s="81"/>
      <c r="P56" s="110"/>
      <c r="Q56" s="81"/>
      <c r="R56" s="110"/>
      <c r="S56" s="81"/>
      <c r="T56" s="81"/>
      <c r="U56" s="81"/>
      <c r="V56" s="86"/>
      <c r="W56" s="86"/>
      <c r="X56" s="86"/>
      <c r="Y56" s="81"/>
      <c r="Z56" s="81"/>
      <c r="AA56" s="81">
        <f>SUM(D56:Z56)</f>
        <v>0</v>
      </c>
      <c r="AB56" s="104">
        <f t="shared" si="4"/>
        <v>-5.28</v>
      </c>
    </row>
    <row r="57" spans="2:29" ht="15">
      <c r="B57" s="107" t="s">
        <v>24</v>
      </c>
      <c r="C57" s="108">
        <f>91.633-1</f>
        <v>90.633</v>
      </c>
      <c r="D57" s="81"/>
      <c r="E57" s="81"/>
      <c r="F57" s="81"/>
      <c r="G57" s="81">
        <v>5.232</v>
      </c>
      <c r="H57" s="81"/>
      <c r="I57" s="81"/>
      <c r="J57" s="81">
        <v>1.37</v>
      </c>
      <c r="K57" s="81"/>
      <c r="L57" s="81">
        <v>0.194</v>
      </c>
      <c r="M57" s="81"/>
      <c r="N57" s="81">
        <v>11.83</v>
      </c>
      <c r="O57" s="81"/>
      <c r="P57" s="81">
        <v>0.215</v>
      </c>
      <c r="Q57" s="81"/>
      <c r="R57" s="81"/>
      <c r="S57" s="81"/>
      <c r="T57" s="81"/>
      <c r="U57" s="81">
        <v>6.18</v>
      </c>
      <c r="V57" s="81"/>
      <c r="W57" s="81">
        <v>0.302</v>
      </c>
      <c r="X57" s="81"/>
      <c r="Y57" s="81"/>
      <c r="Z57" s="81"/>
      <c r="AA57" s="81">
        <f>SUM(D57:Z57)</f>
        <v>25.323</v>
      </c>
      <c r="AB57" s="104">
        <f t="shared" si="4"/>
        <v>-65.31</v>
      </c>
      <c r="AC57" s="66"/>
    </row>
    <row r="58" spans="1:40" s="66" customFormat="1" ht="15">
      <c r="A58" s="66">
        <v>130000</v>
      </c>
      <c r="B58" s="105" t="s">
        <v>48</v>
      </c>
      <c r="C58" s="106">
        <f>SUM(C59:C63)</f>
        <v>817.9285100000001</v>
      </c>
      <c r="D58" s="106">
        <f aca="true" t="shared" si="16" ref="D58:AA58">SUM(D59:D63)</f>
        <v>0</v>
      </c>
      <c r="E58" s="106">
        <f t="shared" si="16"/>
        <v>18.851</v>
      </c>
      <c r="F58" s="106">
        <f t="shared" si="16"/>
        <v>0</v>
      </c>
      <c r="G58" s="106">
        <f t="shared" si="16"/>
        <v>9.325</v>
      </c>
      <c r="H58" s="106">
        <f t="shared" si="16"/>
        <v>0</v>
      </c>
      <c r="I58" s="106">
        <f t="shared" si="16"/>
        <v>0</v>
      </c>
      <c r="J58" s="106">
        <f t="shared" si="16"/>
        <v>125.853</v>
      </c>
      <c r="K58" s="106">
        <f t="shared" si="16"/>
        <v>0</v>
      </c>
      <c r="L58" s="106">
        <f t="shared" si="16"/>
        <v>33.475</v>
      </c>
      <c r="M58" s="106">
        <f t="shared" si="16"/>
        <v>0</v>
      </c>
      <c r="N58" s="106">
        <f t="shared" si="16"/>
        <v>0</v>
      </c>
      <c r="O58" s="106">
        <f t="shared" si="16"/>
        <v>0</v>
      </c>
      <c r="P58" s="106">
        <f t="shared" si="16"/>
        <v>16.764</v>
      </c>
      <c r="Q58" s="106">
        <f t="shared" si="16"/>
        <v>0</v>
      </c>
      <c r="R58" s="106">
        <f t="shared" si="16"/>
        <v>0</v>
      </c>
      <c r="S58" s="106">
        <f t="shared" si="16"/>
        <v>31.407</v>
      </c>
      <c r="T58" s="106">
        <f>SUM(T59:T63)</f>
        <v>0</v>
      </c>
      <c r="U58" s="106">
        <f>SUM(U59:U63)</f>
        <v>253.63100000000003</v>
      </c>
      <c r="V58" s="106">
        <f t="shared" si="16"/>
        <v>0</v>
      </c>
      <c r="W58" s="106">
        <f t="shared" si="16"/>
        <v>0.00123</v>
      </c>
      <c r="X58" s="106">
        <f t="shared" si="16"/>
        <v>0</v>
      </c>
      <c r="Y58" s="106">
        <f t="shared" si="16"/>
        <v>0</v>
      </c>
      <c r="Z58" s="106">
        <f>SUM(Z59:Z63)</f>
        <v>0</v>
      </c>
      <c r="AA58" s="106">
        <f t="shared" si="16"/>
        <v>489.30722999999995</v>
      </c>
      <c r="AB58" s="104">
        <f t="shared" si="4"/>
        <v>-328.6212800000001</v>
      </c>
      <c r="AC58" s="69"/>
      <c r="AD58" s="67"/>
      <c r="AE58" s="67"/>
      <c r="AF58" s="67"/>
      <c r="AG58" s="68"/>
      <c r="AH58" s="68"/>
      <c r="AI58" s="68"/>
      <c r="AJ58" s="68"/>
      <c r="AK58" s="68"/>
      <c r="AL58" s="68"/>
      <c r="AM58" s="68"/>
      <c r="AN58" s="68"/>
    </row>
    <row r="59" spans="2:28" ht="15">
      <c r="B59" s="107" t="s">
        <v>20</v>
      </c>
      <c r="C59" s="108">
        <v>492.873</v>
      </c>
      <c r="D59" s="81"/>
      <c r="E59" s="81"/>
      <c r="F59" s="81"/>
      <c r="G59" s="81"/>
      <c r="H59" s="81"/>
      <c r="I59" s="81"/>
      <c r="J59" s="110">
        <v>85.966</v>
      </c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>
        <v>237.163</v>
      </c>
      <c r="V59" s="86"/>
      <c r="W59" s="86"/>
      <c r="X59" s="81"/>
      <c r="Y59" s="81"/>
      <c r="Z59" s="81"/>
      <c r="AA59" s="81">
        <f>SUM(D59:Z59)</f>
        <v>323.129</v>
      </c>
      <c r="AB59" s="104">
        <f t="shared" si="4"/>
        <v>-169.74399999999997</v>
      </c>
    </row>
    <row r="60" spans="2:28" ht="15">
      <c r="B60" s="107" t="s">
        <v>29</v>
      </c>
      <c r="C60" s="108">
        <v>0.00051</v>
      </c>
      <c r="D60" s="81"/>
      <c r="E60" s="81"/>
      <c r="F60" s="81"/>
      <c r="G60" s="81"/>
      <c r="H60" s="81"/>
      <c r="I60" s="81"/>
      <c r="J60" s="110"/>
      <c r="K60" s="81"/>
      <c r="L60" s="81"/>
      <c r="M60" s="81"/>
      <c r="N60" s="81"/>
      <c r="O60" s="81"/>
      <c r="P60" s="110"/>
      <c r="Q60" s="81"/>
      <c r="R60" s="110"/>
      <c r="S60" s="81"/>
      <c r="T60" s="81"/>
      <c r="U60" s="81"/>
      <c r="V60" s="86"/>
      <c r="W60" s="86"/>
      <c r="X60" s="81"/>
      <c r="Y60" s="81"/>
      <c r="Z60" s="81"/>
      <c r="AA60" s="81">
        <f>SUM(D60:Z60)</f>
        <v>0</v>
      </c>
      <c r="AB60" s="104">
        <f t="shared" si="4"/>
        <v>-0.00051</v>
      </c>
    </row>
    <row r="61" spans="2:28" ht="15">
      <c r="B61" s="107" t="s">
        <v>22</v>
      </c>
      <c r="C61" s="108">
        <v>59.977</v>
      </c>
      <c r="D61" s="81"/>
      <c r="E61" s="81">
        <v>4.685</v>
      </c>
      <c r="F61" s="81"/>
      <c r="G61" s="81"/>
      <c r="H61" s="81"/>
      <c r="I61" s="81"/>
      <c r="J61" s="86"/>
      <c r="K61" s="81"/>
      <c r="L61" s="81"/>
      <c r="M61" s="81"/>
      <c r="N61" s="81"/>
      <c r="O61" s="81"/>
      <c r="P61" s="110">
        <v>3.859</v>
      </c>
      <c r="Q61" s="81"/>
      <c r="R61" s="81"/>
      <c r="S61" s="81"/>
      <c r="T61" s="81"/>
      <c r="U61" s="81">
        <v>0.9</v>
      </c>
      <c r="V61" s="86"/>
      <c r="W61" s="86">
        <v>0.00123</v>
      </c>
      <c r="X61" s="81"/>
      <c r="Y61" s="81"/>
      <c r="Z61" s="81"/>
      <c r="AA61" s="81">
        <f>SUM(D61:Z61)</f>
        <v>9.44523</v>
      </c>
      <c r="AB61" s="104">
        <f t="shared" si="4"/>
        <v>-50.531769999999995</v>
      </c>
    </row>
    <row r="62" spans="2:28" ht="15">
      <c r="B62" s="107" t="s">
        <v>35</v>
      </c>
      <c r="C62" s="108">
        <v>78.017</v>
      </c>
      <c r="D62" s="81"/>
      <c r="E62" s="81"/>
      <c r="F62" s="81"/>
      <c r="G62" s="81">
        <v>9.325</v>
      </c>
      <c r="H62" s="81"/>
      <c r="I62" s="81"/>
      <c r="J62" s="86">
        <v>7.907</v>
      </c>
      <c r="K62" s="81"/>
      <c r="L62" s="81">
        <v>0.35</v>
      </c>
      <c r="M62" s="81"/>
      <c r="N62" s="81"/>
      <c r="O62" s="81"/>
      <c r="P62" s="81"/>
      <c r="Q62" s="81"/>
      <c r="R62" s="81"/>
      <c r="S62" s="81">
        <v>15.715</v>
      </c>
      <c r="T62" s="81"/>
      <c r="U62" s="81"/>
      <c r="V62" s="86"/>
      <c r="W62" s="81"/>
      <c r="X62" s="86"/>
      <c r="Y62" s="86"/>
      <c r="Z62" s="86"/>
      <c r="AA62" s="81">
        <f>SUM(D62:Z62)</f>
        <v>33.297</v>
      </c>
      <c r="AB62" s="104">
        <f t="shared" si="4"/>
        <v>-44.72</v>
      </c>
    </row>
    <row r="63" spans="2:28" ht="15">
      <c r="B63" s="107" t="s">
        <v>24</v>
      </c>
      <c r="C63" s="108">
        <v>187.061</v>
      </c>
      <c r="D63" s="81"/>
      <c r="E63" s="81">
        <v>14.166</v>
      </c>
      <c r="F63" s="81"/>
      <c r="G63" s="81"/>
      <c r="H63" s="81"/>
      <c r="I63" s="81"/>
      <c r="J63" s="81">
        <v>31.98</v>
      </c>
      <c r="K63" s="81"/>
      <c r="L63" s="81">
        <v>33.125</v>
      </c>
      <c r="M63" s="81"/>
      <c r="N63" s="81"/>
      <c r="O63" s="81"/>
      <c r="P63" s="81">
        <v>12.905</v>
      </c>
      <c r="Q63" s="81"/>
      <c r="R63" s="81"/>
      <c r="S63" s="81">
        <v>15.692</v>
      </c>
      <c r="T63" s="81"/>
      <c r="U63" s="81">
        <v>15.568</v>
      </c>
      <c r="V63" s="81"/>
      <c r="W63" s="81"/>
      <c r="X63" s="81"/>
      <c r="Y63" s="81"/>
      <c r="Z63" s="81"/>
      <c r="AA63" s="81">
        <f>SUM(D63:Z63)</f>
        <v>123.43599999999999</v>
      </c>
      <c r="AB63" s="104">
        <f t="shared" si="4"/>
        <v>-63.625000000000014</v>
      </c>
    </row>
    <row r="64" spans="2:28" ht="15">
      <c r="B64" s="105" t="s">
        <v>50</v>
      </c>
      <c r="C64" s="106">
        <f>C65+C66</f>
        <v>2181.396</v>
      </c>
      <c r="D64" s="106">
        <f aca="true" t="shared" si="17" ref="D64:AA64">D65+D66</f>
        <v>0</v>
      </c>
      <c r="E64" s="106">
        <f t="shared" si="17"/>
        <v>82.538</v>
      </c>
      <c r="F64" s="106">
        <f t="shared" si="17"/>
        <v>0</v>
      </c>
      <c r="G64" s="106">
        <f t="shared" si="17"/>
        <v>809.227</v>
      </c>
      <c r="H64" s="106">
        <f t="shared" si="17"/>
        <v>0</v>
      </c>
      <c r="I64" s="106">
        <f t="shared" si="17"/>
        <v>0</v>
      </c>
      <c r="J64" s="106">
        <f t="shared" si="17"/>
        <v>2.34</v>
      </c>
      <c r="K64" s="106">
        <f t="shared" si="17"/>
        <v>0</v>
      </c>
      <c r="L64" s="106">
        <f t="shared" si="17"/>
        <v>3.836</v>
      </c>
      <c r="M64" s="106">
        <f t="shared" si="17"/>
        <v>0</v>
      </c>
      <c r="N64" s="106">
        <f t="shared" si="17"/>
        <v>67.68</v>
      </c>
      <c r="O64" s="106">
        <f t="shared" si="17"/>
        <v>0</v>
      </c>
      <c r="P64" s="106">
        <f t="shared" si="17"/>
        <v>515.873</v>
      </c>
      <c r="Q64" s="106">
        <f t="shared" si="17"/>
        <v>0</v>
      </c>
      <c r="R64" s="106">
        <f t="shared" si="17"/>
        <v>0</v>
      </c>
      <c r="S64" s="106">
        <f t="shared" si="17"/>
        <v>0</v>
      </c>
      <c r="T64" s="106">
        <f>T65+T66</f>
        <v>0</v>
      </c>
      <c r="U64" s="106">
        <f t="shared" si="17"/>
        <v>24.358</v>
      </c>
      <c r="V64" s="106">
        <f t="shared" si="17"/>
        <v>0</v>
      </c>
      <c r="W64" s="106">
        <f t="shared" si="17"/>
        <v>34.149</v>
      </c>
      <c r="X64" s="106">
        <f t="shared" si="17"/>
        <v>0</v>
      </c>
      <c r="Y64" s="106">
        <f t="shared" si="17"/>
        <v>0</v>
      </c>
      <c r="Z64" s="106">
        <f>Z65+Z66</f>
        <v>0</v>
      </c>
      <c r="AA64" s="106">
        <f t="shared" si="17"/>
        <v>1540.0010000000002</v>
      </c>
      <c r="AB64" s="104">
        <f t="shared" si="4"/>
        <v>-641.395</v>
      </c>
    </row>
    <row r="65" spans="2:28" ht="15">
      <c r="B65" s="118" t="s">
        <v>51</v>
      </c>
      <c r="C65" s="113">
        <f>249.42-9</f>
        <v>240.42</v>
      </c>
      <c r="D65" s="86"/>
      <c r="E65" s="86"/>
      <c r="F65" s="86"/>
      <c r="G65" s="86"/>
      <c r="H65" s="86"/>
      <c r="I65" s="86"/>
      <c r="J65" s="86">
        <v>2.34</v>
      </c>
      <c r="K65" s="86"/>
      <c r="L65" s="86"/>
      <c r="M65" s="86"/>
      <c r="N65" s="86">
        <v>67.68</v>
      </c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>
        <f>SUM(D65:Z65)</f>
        <v>70.02000000000001</v>
      </c>
      <c r="AB65" s="104">
        <f t="shared" si="4"/>
        <v>-170.39999999999998</v>
      </c>
    </row>
    <row r="66" spans="2:28" ht="15">
      <c r="B66" s="118" t="s">
        <v>35</v>
      </c>
      <c r="C66" s="113">
        <v>1940.976</v>
      </c>
      <c r="D66" s="86"/>
      <c r="E66" s="86">
        <v>82.538</v>
      </c>
      <c r="F66" s="86"/>
      <c r="G66" s="86">
        <v>809.227</v>
      </c>
      <c r="H66" s="86"/>
      <c r="I66" s="86"/>
      <c r="J66" s="86"/>
      <c r="K66" s="86"/>
      <c r="L66" s="86">
        <v>3.836</v>
      </c>
      <c r="M66" s="86"/>
      <c r="N66" s="86"/>
      <c r="O66" s="86"/>
      <c r="P66" s="86">
        <v>515.873</v>
      </c>
      <c r="Q66" s="86"/>
      <c r="R66" s="86"/>
      <c r="S66" s="86"/>
      <c r="T66" s="86"/>
      <c r="U66" s="86">
        <v>24.358</v>
      </c>
      <c r="V66" s="86"/>
      <c r="W66" s="86">
        <v>34.149</v>
      </c>
      <c r="X66" s="86"/>
      <c r="Y66" s="86"/>
      <c r="Z66" s="86"/>
      <c r="AA66" s="86">
        <f>SUM(D66:Z66)</f>
        <v>1469.9810000000002</v>
      </c>
      <c r="AB66" s="104">
        <f t="shared" si="4"/>
        <v>-470.9949999999999</v>
      </c>
    </row>
    <row r="67" spans="2:28" ht="15">
      <c r="B67" s="105" t="s">
        <v>52</v>
      </c>
      <c r="C67" s="106">
        <f>C68+C69</f>
        <v>42.177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>
        <f>Z68+Z69</f>
        <v>0</v>
      </c>
      <c r="AA67" s="106">
        <f>AA68+AA69</f>
        <v>0</v>
      </c>
      <c r="AB67" s="104">
        <f t="shared" si="4"/>
        <v>-42.177</v>
      </c>
    </row>
    <row r="68" spans="2:28" ht="15">
      <c r="B68" s="107" t="s">
        <v>22</v>
      </c>
      <c r="C68" s="113">
        <v>26.3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0</v>
      </c>
      <c r="AB68" s="104">
        <f t="shared" si="4"/>
        <v>-26.3</v>
      </c>
    </row>
    <row r="69" spans="2:28" ht="15">
      <c r="B69" s="107" t="s">
        <v>35</v>
      </c>
      <c r="C69" s="113">
        <v>15.877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>
        <f>SUM(D69:Z69)</f>
        <v>0</v>
      </c>
      <c r="AB69" s="104">
        <f t="shared" si="4"/>
        <v>-15.877</v>
      </c>
    </row>
    <row r="70" spans="2:28" ht="45" customHeight="1" hidden="1">
      <c r="B70" s="119" t="s">
        <v>53</v>
      </c>
      <c r="C70" s="106">
        <f>400-200-200</f>
        <v>0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>
        <f>SUM(D70:Z70)</f>
        <v>0</v>
      </c>
      <c r="AB70" s="104">
        <f t="shared" si="4"/>
        <v>0</v>
      </c>
    </row>
    <row r="71" spans="1:29" ht="15">
      <c r="A71" s="66">
        <v>170703</v>
      </c>
      <c r="B71" s="105" t="s">
        <v>54</v>
      </c>
      <c r="C71" s="106">
        <f>C72</f>
        <v>195.822</v>
      </c>
      <c r="D71" s="106">
        <f aca="true" t="shared" si="18" ref="D71:AA71">D72</f>
        <v>0</v>
      </c>
      <c r="E71" s="106">
        <f t="shared" si="18"/>
        <v>0</v>
      </c>
      <c r="F71" s="106">
        <f t="shared" si="18"/>
        <v>0</v>
      </c>
      <c r="G71" s="106">
        <f t="shared" si="18"/>
        <v>68.878</v>
      </c>
      <c r="H71" s="106">
        <f t="shared" si="18"/>
        <v>0</v>
      </c>
      <c r="I71" s="106">
        <f t="shared" si="18"/>
        <v>0</v>
      </c>
      <c r="J71" s="106">
        <f t="shared" si="18"/>
        <v>0</v>
      </c>
      <c r="K71" s="106">
        <f t="shared" si="18"/>
        <v>0</v>
      </c>
      <c r="L71" s="106">
        <f t="shared" si="18"/>
        <v>121.895</v>
      </c>
      <c r="M71" s="106">
        <f t="shared" si="18"/>
        <v>0</v>
      </c>
      <c r="N71" s="106">
        <f t="shared" si="18"/>
        <v>0</v>
      </c>
      <c r="O71" s="106">
        <f t="shared" si="18"/>
        <v>0</v>
      </c>
      <c r="P71" s="106">
        <f t="shared" si="18"/>
        <v>0</v>
      </c>
      <c r="Q71" s="106">
        <f t="shared" si="18"/>
        <v>0</v>
      </c>
      <c r="R71" s="106">
        <f t="shared" si="18"/>
        <v>0</v>
      </c>
      <c r="S71" s="106">
        <f t="shared" si="18"/>
        <v>0</v>
      </c>
      <c r="T71" s="106">
        <f t="shared" si="18"/>
        <v>0</v>
      </c>
      <c r="U71" s="106">
        <f t="shared" si="18"/>
        <v>0</v>
      </c>
      <c r="V71" s="106">
        <f t="shared" si="18"/>
        <v>0</v>
      </c>
      <c r="W71" s="106">
        <f t="shared" si="18"/>
        <v>0</v>
      </c>
      <c r="X71" s="106">
        <f t="shared" si="18"/>
        <v>0</v>
      </c>
      <c r="Y71" s="106">
        <f t="shared" si="18"/>
        <v>0</v>
      </c>
      <c r="Z71" s="106">
        <f t="shared" si="18"/>
        <v>0</v>
      </c>
      <c r="AA71" s="106">
        <f t="shared" si="18"/>
        <v>190.773</v>
      </c>
      <c r="AB71" s="104">
        <f t="shared" si="4"/>
        <v>-5.049000000000007</v>
      </c>
      <c r="AC71" s="94"/>
    </row>
    <row r="72" spans="2:40" s="94" customFormat="1" ht="15">
      <c r="B72" s="118" t="s">
        <v>51</v>
      </c>
      <c r="C72" s="113">
        <f>120.822+75</f>
        <v>195.822</v>
      </c>
      <c r="D72" s="86"/>
      <c r="E72" s="86"/>
      <c r="F72" s="86"/>
      <c r="G72" s="86">
        <v>68.878</v>
      </c>
      <c r="H72" s="86"/>
      <c r="I72" s="86"/>
      <c r="J72" s="86"/>
      <c r="K72" s="86"/>
      <c r="L72" s="86">
        <v>121.895</v>
      </c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>
        <f aca="true" t="shared" si="19" ref="AA72:AA81">SUM(D72:Z72)</f>
        <v>190.773</v>
      </c>
      <c r="AB72" s="104">
        <f t="shared" si="4"/>
        <v>-5.049000000000007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27">
      <c r="B73" s="119" t="s">
        <v>55</v>
      </c>
      <c r="C73" s="106">
        <v>10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0</v>
      </c>
      <c r="AB73" s="104">
        <f t="shared" si="4"/>
        <v>-10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">
      <c r="B74" s="119" t="s">
        <v>56</v>
      </c>
      <c r="C74" s="106">
        <f>259.678-75</f>
        <v>184.678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</v>
      </c>
      <c r="AB74" s="104">
        <f t="shared" si="4"/>
        <v>-184.678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15">
      <c r="B75" s="119" t="s">
        <v>57</v>
      </c>
      <c r="C75" s="106">
        <v>8.1824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</v>
      </c>
      <c r="AB75" s="104">
        <f t="shared" si="4"/>
        <v>-8.1824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2:40" s="94" customFormat="1" ht="15">
      <c r="B76" s="119" t="s">
        <v>58</v>
      </c>
      <c r="C76" s="106">
        <v>527.155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0</v>
      </c>
      <c r="AB76" s="104">
        <f t="shared" si="4"/>
        <v>-527.155</v>
      </c>
      <c r="AD76" s="96"/>
      <c r="AE76" s="96"/>
      <c r="AF76" s="96"/>
      <c r="AG76" s="97"/>
      <c r="AH76" s="97"/>
      <c r="AI76" s="97"/>
      <c r="AJ76" s="97"/>
      <c r="AK76" s="97"/>
      <c r="AL76" s="97"/>
      <c r="AM76" s="97"/>
      <c r="AN76" s="97"/>
    </row>
    <row r="77" spans="1:40" s="66" customFormat="1" ht="15">
      <c r="A77" s="66">
        <v>250102</v>
      </c>
      <c r="B77" s="105" t="s">
        <v>59</v>
      </c>
      <c r="C77" s="106">
        <v>167.5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19"/>
        <v>0</v>
      </c>
      <c r="AB77" s="104">
        <f t="shared" si="4"/>
        <v>-167.5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55.5">
      <c r="B78" s="105" t="s">
        <v>60</v>
      </c>
      <c r="C78" s="106">
        <v>47.942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>
        <v>47.942</v>
      </c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19"/>
        <v>47.942</v>
      </c>
      <c r="AB78" s="104">
        <f t="shared" si="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71.25" customHeight="1">
      <c r="B79" s="105" t="s">
        <v>61</v>
      </c>
      <c r="C79" s="106">
        <v>250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19"/>
        <v>0</v>
      </c>
      <c r="AB79" s="104">
        <f t="shared" si="4"/>
        <v>-250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55.5" hidden="1">
      <c r="B80" s="105" t="s">
        <v>62</v>
      </c>
      <c r="C80" s="106">
        <v>0</v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>
        <f t="shared" si="19"/>
        <v>0</v>
      </c>
      <c r="AB80" s="104">
        <f t="shared" si="4"/>
        <v>0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42">
      <c r="B81" s="105" t="s">
        <v>63</v>
      </c>
      <c r="C81" s="106">
        <v>0</v>
      </c>
      <c r="D81" s="106">
        <v>917.179</v>
      </c>
      <c r="E81" s="106">
        <v>2.21</v>
      </c>
      <c r="F81" s="106"/>
      <c r="G81" s="106">
        <v>817.383</v>
      </c>
      <c r="H81" s="106"/>
      <c r="I81" s="106">
        <v>150.224</v>
      </c>
      <c r="J81" s="106"/>
      <c r="K81" s="106"/>
      <c r="L81" s="106">
        <v>1733.756</v>
      </c>
      <c r="M81" s="106"/>
      <c r="N81" s="106">
        <v>138.24</v>
      </c>
      <c r="O81" s="106"/>
      <c r="P81" s="106">
        <v>380.734</v>
      </c>
      <c r="Q81" s="106"/>
      <c r="R81" s="106">
        <v>335.719</v>
      </c>
      <c r="S81" s="106">
        <v>362.363</v>
      </c>
      <c r="T81" s="106"/>
      <c r="U81" s="106">
        <f>1429.667+326.616</f>
        <v>1756.283</v>
      </c>
      <c r="V81" s="106"/>
      <c r="W81" s="106">
        <v>0.0005</v>
      </c>
      <c r="X81" s="106"/>
      <c r="Y81" s="106"/>
      <c r="Z81" s="106"/>
      <c r="AA81" s="106">
        <f t="shared" si="19"/>
        <v>6594.0915</v>
      </c>
      <c r="AB81" s="104">
        <f t="shared" si="4"/>
        <v>6594.0915</v>
      </c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2:40" s="66" customFormat="1" ht="15">
      <c r="B82" s="120" t="s">
        <v>64</v>
      </c>
      <c r="C82" s="121">
        <f>SUM(C83:C89)</f>
        <v>30587.4315</v>
      </c>
      <c r="D82" s="121">
        <f aca="true" t="shared" si="20" ref="D82:AA82">SUM(D83:D89)</f>
        <v>967.179</v>
      </c>
      <c r="E82" s="121">
        <f t="shared" si="20"/>
        <v>900.004</v>
      </c>
      <c r="F82" s="121">
        <f t="shared" si="20"/>
        <v>0</v>
      </c>
      <c r="G82" s="121">
        <f t="shared" si="20"/>
        <v>1835.391</v>
      </c>
      <c r="H82" s="121">
        <f t="shared" si="20"/>
        <v>530.619</v>
      </c>
      <c r="I82" s="121">
        <f t="shared" si="20"/>
        <v>896.733</v>
      </c>
      <c r="J82" s="121">
        <f t="shared" si="20"/>
        <v>3463.962</v>
      </c>
      <c r="K82" s="121">
        <f t="shared" si="20"/>
        <v>0</v>
      </c>
      <c r="L82" s="121">
        <f t="shared" si="20"/>
        <v>3352.516</v>
      </c>
      <c r="M82" s="121">
        <f t="shared" si="20"/>
        <v>2.853</v>
      </c>
      <c r="N82" s="121">
        <f t="shared" si="20"/>
        <v>516.2950000000001</v>
      </c>
      <c r="O82" s="121">
        <f t="shared" si="20"/>
        <v>35.98</v>
      </c>
      <c r="P82" s="121">
        <f t="shared" si="20"/>
        <v>1326.191</v>
      </c>
      <c r="Q82" s="121">
        <f t="shared" si="20"/>
        <v>0</v>
      </c>
      <c r="R82" s="121">
        <f t="shared" si="20"/>
        <v>649.1759999999999</v>
      </c>
      <c r="S82" s="121">
        <f t="shared" si="20"/>
        <v>3894.297</v>
      </c>
      <c r="T82" s="121">
        <f>SUM(T83:T89)</f>
        <v>0</v>
      </c>
      <c r="U82" s="121">
        <f t="shared" si="20"/>
        <v>6558.264999999999</v>
      </c>
      <c r="V82" s="121">
        <f t="shared" si="20"/>
        <v>0</v>
      </c>
      <c r="W82" s="121">
        <f t="shared" si="20"/>
        <v>-32.47226999999999</v>
      </c>
      <c r="X82" s="121">
        <f t="shared" si="20"/>
        <v>0</v>
      </c>
      <c r="Y82" s="121">
        <f t="shared" si="20"/>
        <v>0</v>
      </c>
      <c r="Z82" s="121">
        <f t="shared" si="20"/>
        <v>0</v>
      </c>
      <c r="AA82" s="121">
        <f t="shared" si="20"/>
        <v>24896.988729999997</v>
      </c>
      <c r="AB82" s="104">
        <f aca="true" t="shared" si="21" ref="AB82:AB89">AA82-C82</f>
        <v>-5690.4427700000015</v>
      </c>
      <c r="AC82" s="69"/>
      <c r="AD82" s="67"/>
      <c r="AE82" s="67"/>
      <c r="AF82" s="67"/>
      <c r="AG82" s="68"/>
      <c r="AH82" s="68"/>
      <c r="AI82" s="68"/>
      <c r="AJ82" s="68"/>
      <c r="AK82" s="68"/>
      <c r="AL82" s="68"/>
      <c r="AM82" s="68"/>
      <c r="AN82" s="68"/>
    </row>
    <row r="83" spans="1:40" s="72" customFormat="1" ht="15">
      <c r="A83" s="69"/>
      <c r="B83" s="107" t="s">
        <v>20</v>
      </c>
      <c r="C83" s="108">
        <f aca="true" t="shared" si="22" ref="C83:AA83">C20+C37+C43+C47+C51+C54+C59+C24</f>
        <v>17836.946</v>
      </c>
      <c r="D83" s="108">
        <f t="shared" si="22"/>
        <v>0</v>
      </c>
      <c r="E83" s="108">
        <f t="shared" si="22"/>
        <v>656.504</v>
      </c>
      <c r="F83" s="108">
        <f t="shared" si="22"/>
        <v>0</v>
      </c>
      <c r="G83" s="108">
        <f t="shared" si="22"/>
        <v>16.478</v>
      </c>
      <c r="H83" s="108">
        <f t="shared" si="22"/>
        <v>523.297</v>
      </c>
      <c r="I83" s="108">
        <f t="shared" si="22"/>
        <v>619.27</v>
      </c>
      <c r="J83" s="108">
        <f t="shared" si="22"/>
        <v>3315.245</v>
      </c>
      <c r="K83" s="108">
        <f t="shared" si="22"/>
        <v>0</v>
      </c>
      <c r="L83" s="108">
        <f t="shared" si="22"/>
        <v>1014.5819999999999</v>
      </c>
      <c r="M83" s="108">
        <f t="shared" si="22"/>
        <v>0</v>
      </c>
      <c r="N83" s="108">
        <f t="shared" si="22"/>
        <v>15.68</v>
      </c>
      <c r="O83" s="108">
        <f t="shared" si="22"/>
        <v>0</v>
      </c>
      <c r="P83" s="108">
        <f t="shared" si="22"/>
        <v>0</v>
      </c>
      <c r="Q83" s="108">
        <f t="shared" si="22"/>
        <v>0</v>
      </c>
      <c r="R83" s="108">
        <f t="shared" si="22"/>
        <v>92.91</v>
      </c>
      <c r="S83" s="108">
        <f t="shared" si="22"/>
        <v>2873.029</v>
      </c>
      <c r="T83" s="108">
        <f t="shared" si="22"/>
        <v>0</v>
      </c>
      <c r="U83" s="108">
        <f t="shared" si="22"/>
        <v>4503.3730000000005</v>
      </c>
      <c r="V83" s="108">
        <f t="shared" si="22"/>
        <v>0</v>
      </c>
      <c r="W83" s="108">
        <f t="shared" si="22"/>
        <v>3.032</v>
      </c>
      <c r="X83" s="108">
        <f t="shared" si="22"/>
        <v>0</v>
      </c>
      <c r="Y83" s="108">
        <f t="shared" si="22"/>
        <v>0</v>
      </c>
      <c r="Z83" s="108">
        <f t="shared" si="22"/>
        <v>0</v>
      </c>
      <c r="AA83" s="108">
        <f t="shared" si="22"/>
        <v>13633.4</v>
      </c>
      <c r="AB83" s="104">
        <f t="shared" si="21"/>
        <v>-4203.546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">
      <c r="A84" s="69"/>
      <c r="B84" s="107" t="s">
        <v>29</v>
      </c>
      <c r="C84" s="108">
        <f aca="true" t="shared" si="23" ref="C84:AA84">C25+C38+C60</f>
        <v>18.65751</v>
      </c>
      <c r="D84" s="108">
        <f t="shared" si="23"/>
        <v>0</v>
      </c>
      <c r="E84" s="108">
        <f t="shared" si="23"/>
        <v>0</v>
      </c>
      <c r="F84" s="108">
        <f t="shared" si="23"/>
        <v>0</v>
      </c>
      <c r="G84" s="108">
        <f t="shared" si="23"/>
        <v>0</v>
      </c>
      <c r="H84" s="108">
        <f t="shared" si="23"/>
        <v>0</v>
      </c>
      <c r="I84" s="108">
        <f t="shared" si="23"/>
        <v>0</v>
      </c>
      <c r="J84" s="108">
        <f t="shared" si="23"/>
        <v>1.035</v>
      </c>
      <c r="K84" s="108">
        <f t="shared" si="23"/>
        <v>0</v>
      </c>
      <c r="L84" s="108">
        <f t="shared" si="23"/>
        <v>2.999</v>
      </c>
      <c r="M84" s="108">
        <f t="shared" si="23"/>
        <v>0</v>
      </c>
      <c r="N84" s="108">
        <f t="shared" si="23"/>
        <v>0</v>
      </c>
      <c r="O84" s="108">
        <f t="shared" si="23"/>
        <v>0</v>
      </c>
      <c r="P84" s="108">
        <f t="shared" si="23"/>
        <v>7.1739999999999995</v>
      </c>
      <c r="Q84" s="108">
        <f t="shared" si="23"/>
        <v>0</v>
      </c>
      <c r="R84" s="108">
        <f t="shared" si="23"/>
        <v>0</v>
      </c>
      <c r="S84" s="108">
        <f t="shared" si="23"/>
        <v>1.598</v>
      </c>
      <c r="T84" s="108">
        <f t="shared" si="23"/>
        <v>0</v>
      </c>
      <c r="U84" s="108">
        <f t="shared" si="23"/>
        <v>0.878</v>
      </c>
      <c r="V84" s="108">
        <f t="shared" si="23"/>
        <v>0</v>
      </c>
      <c r="W84" s="108">
        <f t="shared" si="23"/>
        <v>0</v>
      </c>
      <c r="X84" s="108">
        <f t="shared" si="23"/>
        <v>0</v>
      </c>
      <c r="Y84" s="108">
        <f t="shared" si="23"/>
        <v>0</v>
      </c>
      <c r="Z84" s="108">
        <f t="shared" si="23"/>
        <v>0</v>
      </c>
      <c r="AA84" s="108">
        <f t="shared" si="23"/>
        <v>13.684000000000001</v>
      </c>
      <c r="AB84" s="104">
        <f t="shared" si="21"/>
        <v>-4.973509999999997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">
      <c r="A85" s="69"/>
      <c r="B85" s="107" t="s">
        <v>31</v>
      </c>
      <c r="C85" s="108">
        <f aca="true" t="shared" si="24" ref="C85:AA85">C26+C39</f>
        <v>879.208</v>
      </c>
      <c r="D85" s="108">
        <f t="shared" si="24"/>
        <v>0</v>
      </c>
      <c r="E85" s="108">
        <f t="shared" si="24"/>
        <v>75.527</v>
      </c>
      <c r="F85" s="108">
        <f t="shared" si="24"/>
        <v>0</v>
      </c>
      <c r="G85" s="108">
        <f t="shared" si="24"/>
        <v>15.044</v>
      </c>
      <c r="H85" s="108">
        <f t="shared" si="24"/>
        <v>0</v>
      </c>
      <c r="I85" s="108">
        <f t="shared" si="24"/>
        <v>46.795</v>
      </c>
      <c r="J85" s="108">
        <f t="shared" si="24"/>
        <v>64.494</v>
      </c>
      <c r="K85" s="108">
        <f t="shared" si="24"/>
        <v>0</v>
      </c>
      <c r="L85" s="108">
        <f t="shared" si="24"/>
        <v>167.135</v>
      </c>
      <c r="M85" s="108">
        <f t="shared" si="24"/>
        <v>0</v>
      </c>
      <c r="N85" s="108">
        <f t="shared" si="24"/>
        <v>54.486</v>
      </c>
      <c r="O85" s="108">
        <f t="shared" si="24"/>
        <v>0</v>
      </c>
      <c r="P85" s="108">
        <f t="shared" si="24"/>
        <v>133.923</v>
      </c>
      <c r="Q85" s="108">
        <f t="shared" si="24"/>
        <v>0</v>
      </c>
      <c r="R85" s="108">
        <f t="shared" si="24"/>
        <v>0</v>
      </c>
      <c r="S85" s="108">
        <f t="shared" si="24"/>
        <v>61.895</v>
      </c>
      <c r="T85" s="108">
        <f t="shared" si="24"/>
        <v>0</v>
      </c>
      <c r="U85" s="108">
        <f t="shared" si="24"/>
        <v>69.037</v>
      </c>
      <c r="V85" s="108">
        <f t="shared" si="24"/>
        <v>0</v>
      </c>
      <c r="W85" s="108">
        <f t="shared" si="24"/>
        <v>0</v>
      </c>
      <c r="X85" s="108">
        <f t="shared" si="24"/>
        <v>0</v>
      </c>
      <c r="Y85" s="108">
        <f t="shared" si="24"/>
        <v>0</v>
      </c>
      <c r="Z85" s="108">
        <f t="shared" si="24"/>
        <v>0</v>
      </c>
      <c r="AA85" s="108">
        <f t="shared" si="24"/>
        <v>688.336</v>
      </c>
      <c r="AB85" s="104">
        <f t="shared" si="21"/>
        <v>-190.87199999999996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">
      <c r="A86" s="69"/>
      <c r="B86" s="107" t="s">
        <v>22</v>
      </c>
      <c r="C86" s="108">
        <f aca="true" t="shared" si="25" ref="C86:AA86">C21+C27+C40+C44+C48+C55+C61+C68</f>
        <v>1916.699</v>
      </c>
      <c r="D86" s="108">
        <f t="shared" si="25"/>
        <v>0</v>
      </c>
      <c r="E86" s="108">
        <f t="shared" si="25"/>
        <v>4.685</v>
      </c>
      <c r="F86" s="108">
        <f t="shared" si="25"/>
        <v>0</v>
      </c>
      <c r="G86" s="108">
        <f t="shared" si="25"/>
        <v>7.259</v>
      </c>
      <c r="H86" s="108">
        <f t="shared" si="25"/>
        <v>0</v>
      </c>
      <c r="I86" s="108">
        <f t="shared" si="25"/>
        <v>0.243</v>
      </c>
      <c r="J86" s="108">
        <f t="shared" si="25"/>
        <v>10.977</v>
      </c>
      <c r="K86" s="108">
        <f t="shared" si="25"/>
        <v>0</v>
      </c>
      <c r="L86" s="108">
        <f t="shared" si="25"/>
        <v>11.866999999999999</v>
      </c>
      <c r="M86" s="108">
        <f t="shared" si="25"/>
        <v>0</v>
      </c>
      <c r="N86" s="108">
        <f t="shared" si="25"/>
        <v>43.509</v>
      </c>
      <c r="O86" s="108">
        <f t="shared" si="25"/>
        <v>0</v>
      </c>
      <c r="P86" s="108">
        <f t="shared" si="25"/>
        <v>166.716</v>
      </c>
      <c r="Q86" s="108">
        <f t="shared" si="25"/>
        <v>0</v>
      </c>
      <c r="R86" s="108">
        <f t="shared" si="25"/>
        <v>53.352000000000004</v>
      </c>
      <c r="S86" s="108">
        <f t="shared" si="25"/>
        <v>251.274</v>
      </c>
      <c r="T86" s="108">
        <f t="shared" si="25"/>
        <v>0</v>
      </c>
      <c r="U86" s="108">
        <f t="shared" si="25"/>
        <v>14.267000000000001</v>
      </c>
      <c r="V86" s="108">
        <f t="shared" si="25"/>
        <v>0</v>
      </c>
      <c r="W86" s="108">
        <f t="shared" si="25"/>
        <v>0.90023</v>
      </c>
      <c r="X86" s="108">
        <f t="shared" si="25"/>
        <v>0</v>
      </c>
      <c r="Y86" s="108">
        <f t="shared" si="25"/>
        <v>0</v>
      </c>
      <c r="Z86" s="108">
        <f t="shared" si="25"/>
        <v>0</v>
      </c>
      <c r="AA86" s="108">
        <f t="shared" si="25"/>
        <v>565.0492300000002</v>
      </c>
      <c r="AB86" s="104">
        <f t="shared" si="21"/>
        <v>-1351.64977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">
      <c r="A87" s="69"/>
      <c r="B87" s="107" t="s">
        <v>47</v>
      </c>
      <c r="C87" s="108">
        <f aca="true" t="shared" si="26" ref="C87:AA87">C56+C74</f>
        <v>189.958</v>
      </c>
      <c r="D87" s="108">
        <f t="shared" si="26"/>
        <v>0</v>
      </c>
      <c r="E87" s="108">
        <f t="shared" si="26"/>
        <v>0</v>
      </c>
      <c r="F87" s="108">
        <f t="shared" si="26"/>
        <v>0</v>
      </c>
      <c r="G87" s="108">
        <f t="shared" si="26"/>
        <v>0</v>
      </c>
      <c r="H87" s="108">
        <f t="shared" si="26"/>
        <v>0</v>
      </c>
      <c r="I87" s="108">
        <f t="shared" si="26"/>
        <v>0</v>
      </c>
      <c r="J87" s="108">
        <f t="shared" si="26"/>
        <v>0</v>
      </c>
      <c r="K87" s="108">
        <f t="shared" si="26"/>
        <v>0</v>
      </c>
      <c r="L87" s="108">
        <f t="shared" si="26"/>
        <v>0</v>
      </c>
      <c r="M87" s="108">
        <f t="shared" si="26"/>
        <v>0</v>
      </c>
      <c r="N87" s="108">
        <f t="shared" si="26"/>
        <v>0</v>
      </c>
      <c r="O87" s="108">
        <f t="shared" si="26"/>
        <v>0</v>
      </c>
      <c r="P87" s="108">
        <f t="shared" si="26"/>
        <v>0</v>
      </c>
      <c r="Q87" s="108">
        <f t="shared" si="26"/>
        <v>0</v>
      </c>
      <c r="R87" s="108">
        <f t="shared" si="26"/>
        <v>0</v>
      </c>
      <c r="S87" s="108">
        <f t="shared" si="26"/>
        <v>0</v>
      </c>
      <c r="T87" s="108">
        <f t="shared" si="26"/>
        <v>0</v>
      </c>
      <c r="U87" s="108">
        <f t="shared" si="26"/>
        <v>0</v>
      </c>
      <c r="V87" s="108">
        <f t="shared" si="26"/>
        <v>0</v>
      </c>
      <c r="W87" s="108">
        <f t="shared" si="26"/>
        <v>0</v>
      </c>
      <c r="X87" s="108">
        <f t="shared" si="26"/>
        <v>0</v>
      </c>
      <c r="Y87" s="108">
        <f t="shared" si="26"/>
        <v>0</v>
      </c>
      <c r="Z87" s="108">
        <f t="shared" si="26"/>
        <v>0</v>
      </c>
      <c r="AA87" s="108">
        <f t="shared" si="26"/>
        <v>0</v>
      </c>
      <c r="AB87" s="104">
        <f t="shared" si="21"/>
        <v>-189.958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">
      <c r="A88" s="69"/>
      <c r="B88" s="107" t="s">
        <v>35</v>
      </c>
      <c r="C88" s="108">
        <f>C30+C52+C62+C66+C31+C69+C78+C79+C80</f>
        <v>3171.302</v>
      </c>
      <c r="D88" s="108">
        <f aca="true" t="shared" si="27" ref="D88:AA88">D30+D52+D62+D66+D31+D69+D78+D79+D80</f>
        <v>0</v>
      </c>
      <c r="E88" s="108">
        <f t="shared" si="27"/>
        <v>103.634</v>
      </c>
      <c r="F88" s="108">
        <f t="shared" si="27"/>
        <v>0</v>
      </c>
      <c r="G88" s="108">
        <f t="shared" si="27"/>
        <v>845.288</v>
      </c>
      <c r="H88" s="108">
        <f t="shared" si="27"/>
        <v>0</v>
      </c>
      <c r="I88" s="108">
        <f t="shared" si="27"/>
        <v>20.446</v>
      </c>
      <c r="J88" s="108">
        <f t="shared" si="27"/>
        <v>7.907</v>
      </c>
      <c r="K88" s="108">
        <f t="shared" si="27"/>
        <v>0</v>
      </c>
      <c r="L88" s="108">
        <f t="shared" si="27"/>
        <v>4.186</v>
      </c>
      <c r="M88" s="108">
        <f t="shared" si="27"/>
        <v>0</v>
      </c>
      <c r="N88" s="108">
        <f t="shared" si="27"/>
        <v>87.25</v>
      </c>
      <c r="O88" s="108">
        <f t="shared" si="27"/>
        <v>0</v>
      </c>
      <c r="P88" s="108">
        <f t="shared" si="27"/>
        <v>539.4050000000001</v>
      </c>
      <c r="Q88" s="108">
        <f>Q30+Q52+Q62+Q66+Q31+Q69+Q78+Q79+Q80</f>
        <v>0</v>
      </c>
      <c r="R88" s="108">
        <f>R30+R52+R62+R66+R31+R69+R78+R79+R80</f>
        <v>0</v>
      </c>
      <c r="S88" s="108">
        <f t="shared" si="27"/>
        <v>15.715</v>
      </c>
      <c r="T88" s="108">
        <f t="shared" si="27"/>
        <v>0</v>
      </c>
      <c r="U88" s="108">
        <f t="shared" si="27"/>
        <v>72.999</v>
      </c>
      <c r="V88" s="108">
        <f t="shared" si="27"/>
        <v>0</v>
      </c>
      <c r="W88" s="108">
        <f t="shared" si="27"/>
        <v>34.149</v>
      </c>
      <c r="X88" s="108">
        <f t="shared" si="27"/>
        <v>0</v>
      </c>
      <c r="Y88" s="108">
        <f t="shared" si="27"/>
        <v>0</v>
      </c>
      <c r="Z88" s="108">
        <f t="shared" si="27"/>
        <v>0</v>
      </c>
      <c r="AA88" s="108">
        <f t="shared" si="27"/>
        <v>1730.9790000000003</v>
      </c>
      <c r="AB88" s="104">
        <f t="shared" si="21"/>
        <v>-1440.3229999999999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">
      <c r="A89" s="69"/>
      <c r="B89" s="107" t="s">
        <v>24</v>
      </c>
      <c r="C89" s="108">
        <f>C22+C28+C32+C33+C34+C41+C45+C49+C57+C63+C72+C76+C77+C81+C65+C75+C73+C35+C70</f>
        <v>6574.660989999999</v>
      </c>
      <c r="D89" s="108">
        <f aca="true" t="shared" si="28" ref="D89:AA89">D22+D28+D32+D33+D41+D45+D49+D57+D63+D72+D76+D77+D81+D65+D75+D73+D35+D70+D34</f>
        <v>967.179</v>
      </c>
      <c r="E89" s="108">
        <f t="shared" si="28"/>
        <v>59.654</v>
      </c>
      <c r="F89" s="108">
        <f t="shared" si="28"/>
        <v>0</v>
      </c>
      <c r="G89" s="108">
        <f t="shared" si="28"/>
        <v>951.322</v>
      </c>
      <c r="H89" s="108">
        <f t="shared" si="28"/>
        <v>7.322</v>
      </c>
      <c r="I89" s="108">
        <f t="shared" si="28"/>
        <v>209.97899999999998</v>
      </c>
      <c r="J89" s="108">
        <f t="shared" si="28"/>
        <v>64.304</v>
      </c>
      <c r="K89" s="108">
        <f t="shared" si="28"/>
        <v>0</v>
      </c>
      <c r="L89" s="108">
        <f t="shared" si="28"/>
        <v>2151.7470000000003</v>
      </c>
      <c r="M89" s="108">
        <f t="shared" si="28"/>
        <v>2.853</v>
      </c>
      <c r="N89" s="108">
        <f t="shared" si="28"/>
        <v>315.37</v>
      </c>
      <c r="O89" s="108">
        <f t="shared" si="28"/>
        <v>35.98</v>
      </c>
      <c r="P89" s="108">
        <f t="shared" si="28"/>
        <v>478.97299999999996</v>
      </c>
      <c r="Q89" s="108">
        <f t="shared" si="28"/>
        <v>0</v>
      </c>
      <c r="R89" s="108">
        <f t="shared" si="28"/>
        <v>502.914</v>
      </c>
      <c r="S89" s="108">
        <f t="shared" si="28"/>
        <v>690.7860000000001</v>
      </c>
      <c r="T89" s="108">
        <f t="shared" si="28"/>
        <v>0</v>
      </c>
      <c r="U89" s="108">
        <f t="shared" si="28"/>
        <v>1897.7109999999998</v>
      </c>
      <c r="V89" s="108">
        <f t="shared" si="28"/>
        <v>0</v>
      </c>
      <c r="W89" s="108">
        <f t="shared" si="28"/>
        <v>-70.55349999999999</v>
      </c>
      <c r="X89" s="108">
        <f t="shared" si="28"/>
        <v>0</v>
      </c>
      <c r="Y89" s="108">
        <f t="shared" si="28"/>
        <v>0</v>
      </c>
      <c r="Z89" s="108">
        <f t="shared" si="28"/>
        <v>0</v>
      </c>
      <c r="AA89" s="108">
        <f t="shared" si="28"/>
        <v>8265.540500000001</v>
      </c>
      <c r="AB89" s="104">
        <f t="shared" si="21"/>
        <v>1690.8795100000016</v>
      </c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">
      <c r="A90" s="69"/>
      <c r="B90" s="69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">
      <c r="A91" s="69"/>
      <c r="B91" s="69" t="s">
        <v>65</v>
      </c>
      <c r="C91" s="124">
        <f aca="true" t="shared" si="29" ref="C91:AA91">C18-C82</f>
        <v>0</v>
      </c>
      <c r="D91" s="124">
        <f t="shared" si="29"/>
        <v>0</v>
      </c>
      <c r="E91" s="124">
        <f t="shared" si="29"/>
        <v>0</v>
      </c>
      <c r="F91" s="124">
        <f t="shared" si="29"/>
        <v>0</v>
      </c>
      <c r="G91" s="124">
        <f t="shared" si="29"/>
        <v>0</v>
      </c>
      <c r="H91" s="124">
        <f t="shared" si="29"/>
        <v>0</v>
      </c>
      <c r="I91" s="124">
        <f t="shared" si="29"/>
        <v>0</v>
      </c>
      <c r="J91" s="124">
        <f t="shared" si="29"/>
        <v>0</v>
      </c>
      <c r="K91" s="124">
        <f t="shared" si="29"/>
        <v>0</v>
      </c>
      <c r="L91" s="124">
        <f t="shared" si="29"/>
        <v>0</v>
      </c>
      <c r="M91" s="124">
        <f t="shared" si="29"/>
        <v>0</v>
      </c>
      <c r="N91" s="124">
        <f t="shared" si="29"/>
        <v>0</v>
      </c>
      <c r="O91" s="124">
        <f t="shared" si="29"/>
        <v>0</v>
      </c>
      <c r="P91" s="124">
        <f t="shared" si="29"/>
        <v>0</v>
      </c>
      <c r="Q91" s="124">
        <f t="shared" si="29"/>
        <v>0</v>
      </c>
      <c r="R91" s="124">
        <f t="shared" si="29"/>
        <v>0</v>
      </c>
      <c r="S91" s="124">
        <f t="shared" si="29"/>
        <v>0</v>
      </c>
      <c r="T91" s="124">
        <f t="shared" si="29"/>
        <v>0</v>
      </c>
      <c r="U91" s="124">
        <f t="shared" si="29"/>
        <v>0</v>
      </c>
      <c r="V91" s="124">
        <f t="shared" si="29"/>
        <v>0</v>
      </c>
      <c r="W91" s="124">
        <f t="shared" si="29"/>
        <v>0</v>
      </c>
      <c r="X91" s="124">
        <f t="shared" si="29"/>
        <v>0</v>
      </c>
      <c r="Y91" s="124">
        <f t="shared" si="29"/>
        <v>0</v>
      </c>
      <c r="Z91" s="124">
        <f t="shared" si="29"/>
        <v>0</v>
      </c>
      <c r="AA91" s="124">
        <f t="shared" si="29"/>
        <v>0</v>
      </c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3" spans="1:40" s="72" customFormat="1" ht="15">
      <c r="A93" s="69"/>
      <c r="B93" s="69"/>
      <c r="C93" s="126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71"/>
      <c r="AC93" s="69"/>
      <c r="AG93" s="73"/>
      <c r="AH93" s="73"/>
      <c r="AI93" s="73"/>
      <c r="AJ93" s="73"/>
      <c r="AK93" s="73"/>
      <c r="AL93" s="73"/>
      <c r="AM93" s="73"/>
      <c r="AN93" s="73"/>
    </row>
    <row r="95" spans="1:40" s="72" customFormat="1" ht="1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71"/>
      <c r="AC95" s="127"/>
      <c r="AG95" s="73"/>
      <c r="AH95" s="73"/>
      <c r="AI95" s="73"/>
      <c r="AJ95" s="73"/>
      <c r="AK95" s="73"/>
      <c r="AL95" s="73"/>
      <c r="AM95" s="73"/>
      <c r="AN95" s="73"/>
    </row>
    <row r="174" ht="15">
      <c r="B174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6"/>
  <sheetViews>
    <sheetView tabSelected="1" view="pageBreakPreview" zoomScale="55" zoomScaleNormal="40" zoomScaleSheetLayoutView="55" zoomScalePageLayoutView="0" workbookViewId="0" topLeftCell="B11">
      <pane xSplit="3156" ySplit="2196" topLeftCell="N89" activePane="bottomRight" state="split"/>
      <selection pane="topLeft" activeCell="B5" sqref="B5"/>
      <selection pane="topRight" activeCell="AD2" sqref="AD1:AH16384"/>
      <selection pane="bottomLeft" activeCell="N22" sqref="N22"/>
      <selection pane="bottomRight" activeCell="AE129" sqref="AE129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5" width="8.7109375" style="5" customWidth="1"/>
    <col min="26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7.25">
      <c r="B3" s="138" t="s">
        <v>67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">
      <c r="B4" s="5" t="s">
        <v>0</v>
      </c>
      <c r="AA4" s="6" t="s">
        <v>1</v>
      </c>
    </row>
    <row r="5" spans="2:27" ht="69">
      <c r="B5" s="10" t="s">
        <v>2</v>
      </c>
      <c r="C5" s="11" t="s">
        <v>3</v>
      </c>
      <c r="D5" s="12">
        <v>1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3">
        <v>11</v>
      </c>
      <c r="K5" s="10">
        <v>12</v>
      </c>
      <c r="L5" s="10">
        <v>13</v>
      </c>
      <c r="M5" s="10">
        <v>14</v>
      </c>
      <c r="N5" s="10">
        <v>15</v>
      </c>
      <c r="O5" s="10">
        <v>18</v>
      </c>
      <c r="P5" s="10">
        <v>19</v>
      </c>
      <c r="Q5" s="10">
        <v>20</v>
      </c>
      <c r="R5" s="10">
        <v>21</v>
      </c>
      <c r="S5" s="10">
        <v>22</v>
      </c>
      <c r="T5" s="10">
        <v>25</v>
      </c>
      <c r="U5" s="10">
        <v>26</v>
      </c>
      <c r="V5" s="13">
        <v>27</v>
      </c>
      <c r="W5" s="10">
        <v>28</v>
      </c>
      <c r="X5" s="13">
        <v>29</v>
      </c>
      <c r="Y5" s="13"/>
      <c r="Z5" s="13"/>
      <c r="AA5" s="12" t="s">
        <v>4</v>
      </c>
    </row>
    <row r="6" spans="2:27" ht="27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">
      <c r="B7" s="20" t="s">
        <v>6</v>
      </c>
      <c r="C7" s="15">
        <f>SUM(D7:Y7)</f>
        <v>3643.2</v>
      </c>
      <c r="D7" s="21">
        <v>1821.6</v>
      </c>
      <c r="E7" s="17"/>
      <c r="F7" s="17"/>
      <c r="G7" s="17"/>
      <c r="H7" s="17"/>
      <c r="I7" s="17"/>
      <c r="J7" s="22">
        <v>1821.6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">
      <c r="B8" s="23" t="s">
        <v>8</v>
      </c>
      <c r="C8" s="24">
        <f aca="true" t="shared" si="0" ref="C8:C16">SUM(D8:Z8)</f>
        <v>18913.6</v>
      </c>
      <c r="D8" s="25">
        <f aca="true" t="shared" si="1" ref="D8:Y8">SUM(D9:D16)</f>
        <v>191.5</v>
      </c>
      <c r="E8" s="25">
        <f t="shared" si="1"/>
        <v>602.3999999999999</v>
      </c>
      <c r="F8" s="25">
        <f t="shared" si="1"/>
        <v>385.79999999999995</v>
      </c>
      <c r="G8" s="25">
        <f t="shared" si="1"/>
        <v>1746.9999999999998</v>
      </c>
      <c r="H8" s="25">
        <f t="shared" si="1"/>
        <v>1728.2999999999997</v>
      </c>
      <c r="I8" s="25">
        <f>SUM(I9:I16)</f>
        <v>488.29999999999995</v>
      </c>
      <c r="J8" s="25">
        <f t="shared" si="1"/>
        <v>690.3</v>
      </c>
      <c r="K8" s="25">
        <f>SUM(K9:K16)</f>
        <v>691.9</v>
      </c>
      <c r="L8" s="25">
        <f t="shared" si="1"/>
        <v>748.2</v>
      </c>
      <c r="M8" s="25">
        <f t="shared" si="1"/>
        <v>1033.2999999999997</v>
      </c>
      <c r="N8" s="25">
        <f t="shared" si="1"/>
        <v>1178.5</v>
      </c>
      <c r="O8" s="25">
        <f t="shared" si="1"/>
        <v>1128.5</v>
      </c>
      <c r="P8" s="25">
        <f t="shared" si="1"/>
        <v>934.8</v>
      </c>
      <c r="Q8" s="25">
        <f t="shared" si="1"/>
        <v>868.9</v>
      </c>
      <c r="R8" s="25">
        <f t="shared" si="1"/>
        <v>474.4</v>
      </c>
      <c r="S8" s="25">
        <f>SUM(S9:S16)</f>
        <v>1005.0999999999999</v>
      </c>
      <c r="T8" s="25">
        <f>SUM(T9:T16)</f>
        <v>658.1999999999999</v>
      </c>
      <c r="U8" s="25">
        <f t="shared" si="1"/>
        <v>741.6999999999999</v>
      </c>
      <c r="V8" s="25">
        <f t="shared" si="1"/>
        <v>1259.7000000000003</v>
      </c>
      <c r="W8" s="25">
        <f t="shared" si="1"/>
        <v>1676.3999999999996</v>
      </c>
      <c r="X8" s="25">
        <f t="shared" si="1"/>
        <v>680.4</v>
      </c>
      <c r="Y8" s="25">
        <f t="shared" si="1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">
      <c r="B9" s="27" t="s">
        <v>9</v>
      </c>
      <c r="C9" s="28">
        <f t="shared" si="0"/>
        <v>10592.5</v>
      </c>
      <c r="D9" s="29">
        <v>108.1</v>
      </c>
      <c r="E9" s="22">
        <v>326.5</v>
      </c>
      <c r="F9" s="22">
        <v>263.4</v>
      </c>
      <c r="G9" s="22">
        <v>1567</v>
      </c>
      <c r="H9" s="22">
        <v>1413.5</v>
      </c>
      <c r="I9" s="22">
        <v>246.7</v>
      </c>
      <c r="J9" s="22">
        <v>158.7</v>
      </c>
      <c r="K9" s="22">
        <v>118</v>
      </c>
      <c r="L9" s="22">
        <v>343</v>
      </c>
      <c r="M9" s="22">
        <v>447.4</v>
      </c>
      <c r="N9" s="22">
        <v>703.1</v>
      </c>
      <c r="O9" s="22">
        <v>272.5</v>
      </c>
      <c r="P9" s="22">
        <v>342.1</v>
      </c>
      <c r="Q9" s="22">
        <v>708.4</v>
      </c>
      <c r="R9" s="30">
        <v>319.3</v>
      </c>
      <c r="S9" s="30">
        <v>869.6</v>
      </c>
      <c r="T9" s="22">
        <v>419.7</v>
      </c>
      <c r="U9" s="30">
        <v>152.8</v>
      </c>
      <c r="V9" s="22">
        <v>661.2</v>
      </c>
      <c r="W9" s="22">
        <v>785.3</v>
      </c>
      <c r="X9" s="22">
        <v>366.2</v>
      </c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t="shared" si="0"/>
        <v>3.8</v>
      </c>
      <c r="D10" s="29"/>
      <c r="E10" s="22"/>
      <c r="F10" s="22"/>
      <c r="G10" s="22"/>
      <c r="H10" s="22"/>
      <c r="I10" s="22"/>
      <c r="J10" s="22"/>
      <c r="K10" s="22"/>
      <c r="L10" s="22">
        <v>0.7</v>
      </c>
      <c r="M10" s="22">
        <v>1.9</v>
      </c>
      <c r="N10" s="22"/>
      <c r="O10" s="22">
        <v>1.2</v>
      </c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30" customHeight="1">
      <c r="B11" s="27" t="s">
        <v>11</v>
      </c>
      <c r="C11" s="28">
        <f t="shared" si="0"/>
        <v>1152.2</v>
      </c>
      <c r="D11" s="29">
        <v>14.6</v>
      </c>
      <c r="E11" s="22">
        <v>50.2</v>
      </c>
      <c r="F11" s="22">
        <v>26.1</v>
      </c>
      <c r="G11" s="22">
        <v>33.1</v>
      </c>
      <c r="H11" s="22">
        <v>18</v>
      </c>
      <c r="I11" s="22">
        <v>37.2</v>
      </c>
      <c r="J11" s="22">
        <v>88.5</v>
      </c>
      <c r="K11" s="22">
        <v>26.1</v>
      </c>
      <c r="L11" s="22">
        <v>26.6</v>
      </c>
      <c r="M11" s="22">
        <v>35.5</v>
      </c>
      <c r="N11" s="22">
        <v>38.3</v>
      </c>
      <c r="O11" s="22">
        <v>76.6</v>
      </c>
      <c r="P11" s="22">
        <v>38.5</v>
      </c>
      <c r="Q11" s="22">
        <v>29</v>
      </c>
      <c r="R11" s="30">
        <v>49</v>
      </c>
      <c r="S11" s="30">
        <v>39.8</v>
      </c>
      <c r="T11" s="22">
        <v>83.2</v>
      </c>
      <c r="U11" s="30">
        <v>149.7</v>
      </c>
      <c r="V11" s="22">
        <v>48.2</v>
      </c>
      <c r="W11" s="22">
        <v>144.8</v>
      </c>
      <c r="X11" s="22">
        <v>99.2</v>
      </c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">
      <c r="B12" s="27" t="s">
        <v>12</v>
      </c>
      <c r="C12" s="28">
        <f t="shared" si="0"/>
        <v>328.90000000000003</v>
      </c>
      <c r="D12" s="29">
        <v>-11.6</v>
      </c>
      <c r="E12" s="22"/>
      <c r="F12" s="22">
        <v>1.4</v>
      </c>
      <c r="G12" s="22">
        <v>1</v>
      </c>
      <c r="H12" s="22"/>
      <c r="I12" s="22">
        <v>10.3</v>
      </c>
      <c r="J12" s="34">
        <v>1</v>
      </c>
      <c r="K12" s="22">
        <v>4.1</v>
      </c>
      <c r="L12" s="22">
        <v>92.3</v>
      </c>
      <c r="M12" s="22">
        <v>1.7</v>
      </c>
      <c r="N12" s="22">
        <v>20.1</v>
      </c>
      <c r="O12" s="22">
        <v>4.4</v>
      </c>
      <c r="P12" s="22">
        <v>1.5</v>
      </c>
      <c r="Q12" s="22">
        <v>29.7</v>
      </c>
      <c r="R12" s="30">
        <v>7.9</v>
      </c>
      <c r="S12" s="30"/>
      <c r="T12" s="22">
        <v>13.3</v>
      </c>
      <c r="U12" s="30">
        <v>107.3</v>
      </c>
      <c r="V12" s="22">
        <v>2.7</v>
      </c>
      <c r="W12" s="22">
        <v>40</v>
      </c>
      <c r="X12" s="22">
        <v>1.8</v>
      </c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">
      <c r="B13" s="27" t="s">
        <v>13</v>
      </c>
      <c r="C13" s="28">
        <f t="shared" si="0"/>
        <v>2451.8999999999996</v>
      </c>
      <c r="D13" s="29">
        <v>19.5</v>
      </c>
      <c r="E13" s="22">
        <v>37.2</v>
      </c>
      <c r="F13" s="22">
        <v>13.4</v>
      </c>
      <c r="G13" s="22">
        <v>25.8</v>
      </c>
      <c r="H13" s="22">
        <v>4.8</v>
      </c>
      <c r="I13" s="22">
        <v>18.1</v>
      </c>
      <c r="J13" s="22">
        <v>9.6</v>
      </c>
      <c r="K13" s="22">
        <v>214.3</v>
      </c>
      <c r="L13" s="22">
        <v>43.8</v>
      </c>
      <c r="M13" s="22">
        <v>3.4</v>
      </c>
      <c r="N13" s="22">
        <v>53.3</v>
      </c>
      <c r="O13" s="22">
        <v>27.5</v>
      </c>
      <c r="P13" s="22">
        <v>116.1</v>
      </c>
      <c r="Q13" s="22">
        <v>62.9</v>
      </c>
      <c r="R13" s="30">
        <v>43.5</v>
      </c>
      <c r="S13" s="30">
        <v>39.9</v>
      </c>
      <c r="T13" s="22">
        <v>99.9</v>
      </c>
      <c r="U13" s="22">
        <v>282.5</v>
      </c>
      <c r="V13" s="22">
        <v>523.1</v>
      </c>
      <c r="W13" s="22">
        <v>659.6</v>
      </c>
      <c r="X13" s="22">
        <v>153.7</v>
      </c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">
      <c r="B14" s="27" t="s">
        <v>14</v>
      </c>
      <c r="C14" s="28">
        <f t="shared" si="0"/>
        <v>3623.1000000000004</v>
      </c>
      <c r="D14" s="29">
        <v>21.4</v>
      </c>
      <c r="E14" s="22">
        <v>165.2</v>
      </c>
      <c r="F14" s="22">
        <v>62.4</v>
      </c>
      <c r="G14" s="22">
        <v>90.4</v>
      </c>
      <c r="H14" s="22">
        <v>267.8</v>
      </c>
      <c r="I14" s="22">
        <v>147.1</v>
      </c>
      <c r="J14" s="22">
        <v>405.2</v>
      </c>
      <c r="K14" s="22">
        <v>292.9</v>
      </c>
      <c r="L14" s="22">
        <v>220.8</v>
      </c>
      <c r="M14" s="22">
        <v>305</v>
      </c>
      <c r="N14" s="22">
        <v>330.9</v>
      </c>
      <c r="O14" s="22">
        <v>708.9</v>
      </c>
      <c r="P14" s="22">
        <v>413.9</v>
      </c>
      <c r="Q14" s="22">
        <v>22.7</v>
      </c>
      <c r="R14" s="30">
        <v>41.1</v>
      </c>
      <c r="S14" s="30">
        <v>31.3</v>
      </c>
      <c r="T14" s="22">
        <v>23.3</v>
      </c>
      <c r="U14" s="30">
        <v>25.6</v>
      </c>
      <c r="V14" s="22">
        <v>15.4</v>
      </c>
      <c r="W14" s="22">
        <v>17.8</v>
      </c>
      <c r="X14" s="22">
        <v>14</v>
      </c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0"/>
        <v>207.4</v>
      </c>
      <c r="D15" s="29">
        <v>2</v>
      </c>
      <c r="E15" s="22">
        <v>18</v>
      </c>
      <c r="F15" s="22">
        <v>10</v>
      </c>
      <c r="G15" s="22">
        <v>13.1</v>
      </c>
      <c r="H15" s="22">
        <v>4.6</v>
      </c>
      <c r="I15" s="22">
        <v>11</v>
      </c>
      <c r="J15" s="22">
        <v>11.5</v>
      </c>
      <c r="K15" s="22">
        <v>7.3</v>
      </c>
      <c r="L15" s="22">
        <v>12.5</v>
      </c>
      <c r="M15" s="22">
        <v>8.3</v>
      </c>
      <c r="N15" s="22">
        <v>5.9</v>
      </c>
      <c r="O15" s="22">
        <v>9.2</v>
      </c>
      <c r="P15" s="22">
        <v>12.8</v>
      </c>
      <c r="Q15" s="22">
        <v>13.4</v>
      </c>
      <c r="R15" s="30">
        <v>8.4</v>
      </c>
      <c r="S15" s="30">
        <v>10.7</v>
      </c>
      <c r="T15" s="22">
        <v>5.6</v>
      </c>
      <c r="U15" s="30">
        <v>12.3</v>
      </c>
      <c r="V15" s="22">
        <v>0.6</v>
      </c>
      <c r="W15" s="22">
        <v>20.3</v>
      </c>
      <c r="X15" s="22">
        <v>9.9</v>
      </c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30" customHeight="1">
      <c r="B16" s="27" t="s">
        <v>16</v>
      </c>
      <c r="C16" s="28">
        <f t="shared" si="0"/>
        <v>553.8</v>
      </c>
      <c r="D16" s="29">
        <v>37.5</v>
      </c>
      <c r="E16" s="22">
        <v>5.3</v>
      </c>
      <c r="F16" s="22">
        <v>9.1</v>
      </c>
      <c r="G16" s="22">
        <v>16.6</v>
      </c>
      <c r="H16" s="22">
        <v>19.6</v>
      </c>
      <c r="I16" s="22">
        <v>17.9</v>
      </c>
      <c r="J16" s="22">
        <v>15.8</v>
      </c>
      <c r="K16" s="22">
        <v>29.2</v>
      </c>
      <c r="L16" s="22">
        <v>8.5</v>
      </c>
      <c r="M16" s="22">
        <v>230.1</v>
      </c>
      <c r="N16" s="22">
        <v>26.9</v>
      </c>
      <c r="O16" s="22">
        <v>28.2</v>
      </c>
      <c r="P16" s="22">
        <v>9.9</v>
      </c>
      <c r="Q16" s="22">
        <v>2.8</v>
      </c>
      <c r="R16" s="30">
        <v>5.2</v>
      </c>
      <c r="S16" s="30">
        <v>13.8</v>
      </c>
      <c r="T16" s="22">
        <v>13.2</v>
      </c>
      <c r="U16" s="30">
        <v>11.5</v>
      </c>
      <c r="V16" s="22">
        <v>8.5</v>
      </c>
      <c r="W16" s="22">
        <v>8.6</v>
      </c>
      <c r="X16" s="30">
        <v>35.6</v>
      </c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22556.800000000003</v>
      </c>
      <c r="D17" s="38">
        <f>SUM(D6:D8)</f>
        <v>2013.1</v>
      </c>
      <c r="E17" s="38">
        <f aca="true" t="shared" si="2" ref="E17:Y17">SUM(E6:E8)</f>
        <v>602.3999999999999</v>
      </c>
      <c r="F17" s="38">
        <f t="shared" si="2"/>
        <v>385.79999999999995</v>
      </c>
      <c r="G17" s="38">
        <f t="shared" si="2"/>
        <v>1746.9999999999998</v>
      </c>
      <c r="H17" s="38">
        <f t="shared" si="2"/>
        <v>1728.2999999999997</v>
      </c>
      <c r="I17" s="38">
        <f t="shared" si="2"/>
        <v>488.29999999999995</v>
      </c>
      <c r="J17" s="38">
        <f t="shared" si="2"/>
        <v>2511.8999999999996</v>
      </c>
      <c r="K17" s="38">
        <f t="shared" si="2"/>
        <v>691.9</v>
      </c>
      <c r="L17" s="38">
        <f t="shared" si="2"/>
        <v>748.2</v>
      </c>
      <c r="M17" s="38">
        <f>SUM(M6:M8)</f>
        <v>1033.2999999999997</v>
      </c>
      <c r="N17" s="38">
        <f t="shared" si="2"/>
        <v>1178.5</v>
      </c>
      <c r="O17" s="38">
        <f t="shared" si="2"/>
        <v>1128.5</v>
      </c>
      <c r="P17" s="38">
        <f t="shared" si="2"/>
        <v>934.8</v>
      </c>
      <c r="Q17" s="38">
        <f t="shared" si="2"/>
        <v>868.9</v>
      </c>
      <c r="R17" s="38">
        <f t="shared" si="2"/>
        <v>474.4</v>
      </c>
      <c r="S17" s="38">
        <f>SUM(S6:S8)</f>
        <v>1005.0999999999999</v>
      </c>
      <c r="T17" s="38">
        <f>SUM(T6:T8)</f>
        <v>658.1999999999999</v>
      </c>
      <c r="U17" s="38">
        <f t="shared" si="2"/>
        <v>741.6999999999999</v>
      </c>
      <c r="V17" s="38">
        <f t="shared" si="2"/>
        <v>1259.7000000000003</v>
      </c>
      <c r="W17" s="38">
        <f t="shared" si="2"/>
        <v>1676.3999999999996</v>
      </c>
      <c r="X17" s="38">
        <f t="shared" si="2"/>
        <v>680.4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">
      <c r="B18" s="39" t="s">
        <v>18</v>
      </c>
      <c r="C18" s="40">
        <f>C19+C23+C29+C32+C33+C35+C36+C42+C46+C50+C53+C58+C66+C73+C78+C79+C83+C31+C69+C77+C75+C76+C80+C81+C82+C72+C34+C64</f>
        <v>34957.576499999996</v>
      </c>
      <c r="D18" s="40">
        <f aca="true" t="shared" si="3" ref="D18:AA18">D19+D23+D29+D32+D33+D35+D36+D42+D46+D50+D53+D58+D66+D73+D78+D79+D83+D31+D69+D77+D75+D76+D80+D81+D82+D72+D34+D64</f>
        <v>2065.8010000000004</v>
      </c>
      <c r="E18" s="40">
        <f t="shared" si="3"/>
        <v>0</v>
      </c>
      <c r="F18" s="40">
        <f t="shared" si="3"/>
        <v>202.41000000000003</v>
      </c>
      <c r="G18" s="40">
        <f t="shared" si="3"/>
        <v>3626.7</v>
      </c>
      <c r="H18" s="40">
        <f t="shared" si="3"/>
        <v>0</v>
      </c>
      <c r="I18" s="40">
        <f t="shared" si="3"/>
        <v>1656.7000000000003</v>
      </c>
      <c r="J18" s="40">
        <f t="shared" si="3"/>
        <v>0</v>
      </c>
      <c r="K18" s="40">
        <f t="shared" si="3"/>
        <v>3785.9959999999996</v>
      </c>
      <c r="L18" s="40">
        <f t="shared" si="3"/>
        <v>2031.2029999999997</v>
      </c>
      <c r="M18" s="40">
        <f t="shared" si="3"/>
        <v>0</v>
      </c>
      <c r="N18" s="40">
        <f t="shared" si="3"/>
        <v>448.923</v>
      </c>
      <c r="O18" s="40">
        <f t="shared" si="3"/>
        <v>0</v>
      </c>
      <c r="P18" s="40">
        <f t="shared" si="3"/>
        <v>908.3000000000001</v>
      </c>
      <c r="Q18" s="40">
        <f t="shared" si="3"/>
        <v>2174.826</v>
      </c>
      <c r="R18" s="40">
        <f t="shared" si="3"/>
        <v>0</v>
      </c>
      <c r="S18" s="40">
        <f t="shared" si="3"/>
        <v>5056</v>
      </c>
      <c r="T18" s="40">
        <f t="shared" si="3"/>
        <v>0</v>
      </c>
      <c r="U18" s="40">
        <f t="shared" si="3"/>
        <v>4212.544</v>
      </c>
      <c r="V18" s="40">
        <f t="shared" si="3"/>
        <v>1313.7150000000001</v>
      </c>
      <c r="W18" s="40">
        <f t="shared" si="3"/>
        <v>232.752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27715.87</v>
      </c>
      <c r="AB18" s="41">
        <f aca="true" t="shared" si="4" ref="AB18:AB83">AA18-C18</f>
        <v>-7241.706499999997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">
      <c r="A19" s="1">
        <v>10116</v>
      </c>
      <c r="B19" s="42" t="s">
        <v>19</v>
      </c>
      <c r="C19" s="43">
        <f aca="true" t="shared" si="5" ref="C19:AA19">SUM(C20:C22)</f>
        <v>5838.558999999999</v>
      </c>
      <c r="D19" s="43">
        <f t="shared" si="5"/>
        <v>0.824</v>
      </c>
      <c r="E19" s="43">
        <f t="shared" si="5"/>
        <v>0</v>
      </c>
      <c r="F19" s="43">
        <f t="shared" si="5"/>
        <v>34.7</v>
      </c>
      <c r="G19" s="43">
        <f t="shared" si="5"/>
        <v>32.6</v>
      </c>
      <c r="H19" s="43">
        <f t="shared" si="5"/>
        <v>0</v>
      </c>
      <c r="I19" s="43">
        <f t="shared" si="5"/>
        <v>123.5</v>
      </c>
      <c r="J19" s="43">
        <f t="shared" si="5"/>
        <v>0</v>
      </c>
      <c r="K19" s="43">
        <f t="shared" si="5"/>
        <v>828.226</v>
      </c>
      <c r="L19" s="43">
        <f t="shared" si="5"/>
        <v>346.245</v>
      </c>
      <c r="M19" s="43">
        <f t="shared" si="5"/>
        <v>0</v>
      </c>
      <c r="N19" s="43">
        <f t="shared" si="5"/>
        <v>13.294</v>
      </c>
      <c r="O19" s="43">
        <f t="shared" si="5"/>
        <v>0</v>
      </c>
      <c r="P19" s="43">
        <f t="shared" si="5"/>
        <v>13.6</v>
      </c>
      <c r="Q19" s="43">
        <f t="shared" si="5"/>
        <v>195.46800000000002</v>
      </c>
      <c r="R19" s="43">
        <f t="shared" si="5"/>
        <v>0</v>
      </c>
      <c r="S19" s="43">
        <f t="shared" si="5"/>
        <v>927.1999999999999</v>
      </c>
      <c r="T19" s="43">
        <f>SUM(T20:T22)</f>
        <v>0</v>
      </c>
      <c r="U19" s="43">
        <f t="shared" si="5"/>
        <v>316.631</v>
      </c>
      <c r="V19" s="43">
        <f t="shared" si="5"/>
        <v>415.765</v>
      </c>
      <c r="W19" s="43">
        <f t="shared" si="5"/>
        <v>-0.017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3248.036</v>
      </c>
      <c r="AB19" s="41">
        <f t="shared" si="4"/>
        <v>-2590.5229999999992</v>
      </c>
      <c r="AD19" s="133"/>
      <c r="AE19" s="134"/>
      <c r="AF19" s="134"/>
      <c r="AG19" s="4"/>
      <c r="AH19" s="4"/>
      <c r="AI19" s="4"/>
      <c r="AJ19" s="4"/>
      <c r="AK19" s="4"/>
      <c r="AL19" s="4"/>
      <c r="AM19" s="4"/>
      <c r="AN19" s="4"/>
    </row>
    <row r="20" spans="2:33" ht="15">
      <c r="B20" s="44" t="s">
        <v>20</v>
      </c>
      <c r="C20" s="45">
        <f>3067.765+590.81+33.274+21.905+153+28+12.7+2.85-5.8-4+102.69+80+18.6+89.7+8.519</f>
        <v>4200.013</v>
      </c>
      <c r="D20" s="17"/>
      <c r="E20" s="17"/>
      <c r="F20" s="17"/>
      <c r="G20" s="17">
        <v>11.9</v>
      </c>
      <c r="H20" s="17"/>
      <c r="I20" s="22">
        <v>23.3</v>
      </c>
      <c r="J20" s="22"/>
      <c r="K20" s="17">
        <v>818.859</v>
      </c>
      <c r="L20" s="17">
        <v>318.958</v>
      </c>
      <c r="M20" s="17"/>
      <c r="N20" s="17"/>
      <c r="O20" s="17"/>
      <c r="P20" s="17"/>
      <c r="Q20" s="17">
        <v>10.582</v>
      </c>
      <c r="R20" s="17"/>
      <c r="S20" s="17">
        <v>877.4</v>
      </c>
      <c r="T20" s="17"/>
      <c r="U20" s="17">
        <v>238.277</v>
      </c>
      <c r="V20" s="22">
        <v>401.354</v>
      </c>
      <c r="W20" s="22"/>
      <c r="X20" s="22"/>
      <c r="Y20" s="17"/>
      <c r="Z20" s="17"/>
      <c r="AA20" s="17">
        <f>SUM(D20:Z20)</f>
        <v>2700.63</v>
      </c>
      <c r="AB20" s="41">
        <f t="shared" si="4"/>
        <v>-1499.3829999999998</v>
      </c>
      <c r="AC20" s="7"/>
      <c r="AD20" s="134" t="s">
        <v>21</v>
      </c>
      <c r="AE20" s="135">
        <f>AA19</f>
        <v>3248.036</v>
      </c>
      <c r="AF20" s="133"/>
      <c r="AG20" s="8"/>
    </row>
    <row r="21" spans="2:33" ht="15">
      <c r="B21" s="44" t="s">
        <v>22</v>
      </c>
      <c r="C21" s="45">
        <f>494.64-25-16.708-27.748-15.442-20-0.358-16.758-35.138+8.35-5.35+0.028-3+0.01-8.9-0.005-1.3</f>
        <v>327.3210000000001</v>
      </c>
      <c r="D21" s="17"/>
      <c r="E21" s="17"/>
      <c r="F21" s="17"/>
      <c r="G21" s="17"/>
      <c r="H21" s="17"/>
      <c r="I21" s="22">
        <v>0.2</v>
      </c>
      <c r="J21" s="22"/>
      <c r="K21" s="17"/>
      <c r="L21" s="17"/>
      <c r="M21" s="17"/>
      <c r="N21" s="17">
        <v>0.272</v>
      </c>
      <c r="O21" s="17"/>
      <c r="P21" s="17">
        <v>2.6</v>
      </c>
      <c r="Q21" s="17">
        <v>19.475</v>
      </c>
      <c r="R21" s="17"/>
      <c r="S21" s="17">
        <v>1</v>
      </c>
      <c r="T21" s="17"/>
      <c r="U21" s="17"/>
      <c r="V21" s="22"/>
      <c r="W21" s="22"/>
      <c r="X21" s="22"/>
      <c r="Y21" s="17"/>
      <c r="Z21" s="17"/>
      <c r="AA21" s="17">
        <f>SUM(D21:Z21)</f>
        <v>23.547</v>
      </c>
      <c r="AB21" s="41">
        <f t="shared" si="4"/>
        <v>-303.77400000000006</v>
      </c>
      <c r="AC21" s="131"/>
      <c r="AD21" s="134" t="s">
        <v>23</v>
      </c>
      <c r="AE21" s="135">
        <f>AA23</f>
        <v>10803.925999999998</v>
      </c>
      <c r="AF21" s="133"/>
      <c r="AG21" s="8"/>
    </row>
    <row r="22" spans="2:33" ht="15">
      <c r="B22" s="44" t="s">
        <v>24</v>
      </c>
      <c r="C22" s="45">
        <f>1352.99+45.715+45.741-130.3-0.746-1.6-0.55+12.262-3.947+0.175-1.5+0.9-6.4-1.44-0.075</f>
        <v>1311.225</v>
      </c>
      <c r="D22" s="17">
        <v>0.824</v>
      </c>
      <c r="E22" s="17"/>
      <c r="F22" s="17">
        <v>34.7</v>
      </c>
      <c r="G22" s="17">
        <v>20.7</v>
      </c>
      <c r="H22" s="17"/>
      <c r="I22" s="17">
        <v>100</v>
      </c>
      <c r="J22" s="17"/>
      <c r="K22" s="17">
        <v>9.367</v>
      </c>
      <c r="L22" s="17">
        <v>27.287</v>
      </c>
      <c r="M22" s="17"/>
      <c r="N22" s="17">
        <v>13.022</v>
      </c>
      <c r="O22" s="17"/>
      <c r="P22" s="17">
        <v>11</v>
      </c>
      <c r="Q22" s="17">
        <v>165.411</v>
      </c>
      <c r="R22" s="17"/>
      <c r="S22" s="17">
        <v>48.8</v>
      </c>
      <c r="T22" s="17"/>
      <c r="U22" s="17">
        <v>78.354</v>
      </c>
      <c r="V22" s="17">
        <v>14.411</v>
      </c>
      <c r="W22" s="17">
        <v>-0.017</v>
      </c>
      <c r="X22" s="17"/>
      <c r="Y22" s="17"/>
      <c r="Z22" s="17"/>
      <c r="AA22" s="17">
        <f>SUM(D22:Z22)</f>
        <v>523.8589999999999</v>
      </c>
      <c r="AB22" s="41">
        <f t="shared" si="4"/>
        <v>-787.366</v>
      </c>
      <c r="AC22" s="131"/>
      <c r="AD22" s="134" t="s">
        <v>25</v>
      </c>
      <c r="AE22" s="135">
        <f>$AA$29+$AA$31</f>
        <v>371.14699999999993</v>
      </c>
      <c r="AF22" s="133"/>
      <c r="AG22" s="8"/>
    </row>
    <row r="23" spans="1:40" s="1" customFormat="1" ht="15">
      <c r="A23" s="1">
        <v>7000</v>
      </c>
      <c r="B23" s="42" t="s">
        <v>26</v>
      </c>
      <c r="C23" s="43">
        <f aca="true" t="shared" si="6" ref="C23:AA23">SUM(C24:C28)</f>
        <v>16343.999</v>
      </c>
      <c r="D23" s="43">
        <f t="shared" si="6"/>
        <v>0</v>
      </c>
      <c r="E23" s="43">
        <f>SUM(E24:E28)</f>
        <v>0</v>
      </c>
      <c r="F23" s="43">
        <f t="shared" si="6"/>
        <v>7.76</v>
      </c>
      <c r="G23" s="43">
        <f t="shared" si="6"/>
        <v>3.2</v>
      </c>
      <c r="H23" s="43">
        <f t="shared" si="6"/>
        <v>0</v>
      </c>
      <c r="I23" s="43">
        <f t="shared" si="6"/>
        <v>1152.3000000000002</v>
      </c>
      <c r="J23" s="43">
        <f t="shared" si="6"/>
        <v>0</v>
      </c>
      <c r="K23" s="43">
        <f t="shared" si="6"/>
        <v>2631.5219999999995</v>
      </c>
      <c r="L23" s="43">
        <f t="shared" si="6"/>
        <v>965.277</v>
      </c>
      <c r="M23" s="43">
        <f t="shared" si="6"/>
        <v>0</v>
      </c>
      <c r="N23" s="43">
        <f t="shared" si="6"/>
        <v>118.382</v>
      </c>
      <c r="O23" s="43">
        <f t="shared" si="6"/>
        <v>0</v>
      </c>
      <c r="P23" s="43">
        <f t="shared" si="6"/>
        <v>71.5</v>
      </c>
      <c r="Q23" s="43">
        <f>SUM(Q24:Q28)</f>
        <v>299.887</v>
      </c>
      <c r="R23" s="43">
        <f t="shared" si="6"/>
        <v>0</v>
      </c>
      <c r="S23" s="43">
        <f t="shared" si="6"/>
        <v>2726.8</v>
      </c>
      <c r="T23" s="43">
        <f>SUM(T24:T28)</f>
        <v>0</v>
      </c>
      <c r="U23" s="43">
        <f>SUM(U24:U28)</f>
        <v>2719.233</v>
      </c>
      <c r="V23" s="43">
        <f t="shared" si="6"/>
        <v>108.23</v>
      </c>
      <c r="W23" s="43">
        <f t="shared" si="6"/>
        <v>-0.165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10803.925999999998</v>
      </c>
      <c r="AB23" s="41">
        <f t="shared" si="4"/>
        <v>-5540.073000000002</v>
      </c>
      <c r="AC23" s="129"/>
      <c r="AD23" s="134" t="s">
        <v>27</v>
      </c>
      <c r="AE23" s="135">
        <f>$AA$32+$AA$33+$AA$36+$AA$42+$AA$46+$AA$35+$AA$34</f>
        <v>1807.989</v>
      </c>
      <c r="AF23" s="134"/>
      <c r="AG23" s="3"/>
      <c r="AH23" s="4"/>
      <c r="AI23" s="4"/>
      <c r="AJ23" s="4"/>
      <c r="AK23" s="4"/>
      <c r="AL23" s="4"/>
      <c r="AM23" s="4"/>
      <c r="AN23" s="4"/>
    </row>
    <row r="24" spans="2:33" ht="15">
      <c r="B24" s="44" t="s">
        <v>20</v>
      </c>
      <c r="C24" s="45">
        <f>11170.397-50-10-156.353-9.472-16.472-20-10+20+4+73.56+11.895</f>
        <v>11007.555000000002</v>
      </c>
      <c r="D24" s="17"/>
      <c r="E24" s="17"/>
      <c r="F24" s="17"/>
      <c r="G24" s="17"/>
      <c r="H24" s="17"/>
      <c r="I24" s="17">
        <v>742.2</v>
      </c>
      <c r="J24" s="22"/>
      <c r="K24" s="17">
        <f>1405.996+947.861+13.269</f>
        <v>2367.1259999999997</v>
      </c>
      <c r="L24" s="17">
        <f>77.04+320.219</f>
        <v>397.259</v>
      </c>
      <c r="M24" s="17"/>
      <c r="N24" s="17"/>
      <c r="O24" s="17"/>
      <c r="P24" s="17"/>
      <c r="Q24" s="17">
        <v>51.228</v>
      </c>
      <c r="R24" s="17"/>
      <c r="S24" s="17">
        <f>1813.4+746.9</f>
        <v>2560.3</v>
      </c>
      <c r="T24" s="17"/>
      <c r="U24" s="17">
        <f>961.057+25.456+1301.067</f>
        <v>2287.58</v>
      </c>
      <c r="V24" s="22"/>
      <c r="W24" s="22"/>
      <c r="X24" s="22"/>
      <c r="Y24" s="17"/>
      <c r="Z24" s="17"/>
      <c r="AA24" s="17">
        <f>SUM(D24:Z24)</f>
        <v>8405.693</v>
      </c>
      <c r="AB24" s="41">
        <f t="shared" si="4"/>
        <v>-2601.862000000003</v>
      </c>
      <c r="AC24" s="131"/>
      <c r="AD24" s="134" t="s">
        <v>28</v>
      </c>
      <c r="AE24" s="135">
        <f>$AA$66+$AA$69+$AA$76+$AA$64</f>
        <v>1617.1630000000002</v>
      </c>
      <c r="AF24" s="133"/>
      <c r="AG24" s="8"/>
    </row>
    <row r="25" spans="2:33" ht="15">
      <c r="B25" s="44" t="s">
        <v>29</v>
      </c>
      <c r="C25" s="45">
        <v>3.746</v>
      </c>
      <c r="D25" s="17"/>
      <c r="E25" s="17"/>
      <c r="F25" s="17"/>
      <c r="G25" s="17"/>
      <c r="H25" s="17"/>
      <c r="I25" s="17">
        <v>0.7</v>
      </c>
      <c r="J25" s="22"/>
      <c r="K25" s="17"/>
      <c r="L25" s="17">
        <v>1.002</v>
      </c>
      <c r="M25" s="17"/>
      <c r="N25" s="17"/>
      <c r="O25" s="17"/>
      <c r="P25" s="17">
        <v>0.1</v>
      </c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1.802</v>
      </c>
      <c r="AB25" s="41">
        <f t="shared" si="4"/>
        <v>-1.944</v>
      </c>
      <c r="AC25" s="131"/>
      <c r="AD25" s="134" t="s">
        <v>30</v>
      </c>
      <c r="AE25" s="135">
        <f>$AA$53</f>
        <v>681.347</v>
      </c>
      <c r="AF25" s="133"/>
      <c r="AG25" s="8"/>
    </row>
    <row r="26" spans="2:33" ht="15">
      <c r="B26" s="44" t="s">
        <v>31</v>
      </c>
      <c r="C26" s="45">
        <v>707.872</v>
      </c>
      <c r="D26" s="17"/>
      <c r="E26" s="17"/>
      <c r="F26" s="17">
        <v>1.96</v>
      </c>
      <c r="G26" s="17"/>
      <c r="H26" s="17"/>
      <c r="I26" s="17">
        <v>75.4</v>
      </c>
      <c r="J26" s="22"/>
      <c r="K26" s="17">
        <v>94.895</v>
      </c>
      <c r="L26" s="17">
        <v>69.774</v>
      </c>
      <c r="M26" s="17"/>
      <c r="N26" s="17">
        <v>80.25</v>
      </c>
      <c r="O26" s="17"/>
      <c r="P26" s="17">
        <v>38.1</v>
      </c>
      <c r="Q26" s="17">
        <v>79.64</v>
      </c>
      <c r="R26" s="17"/>
      <c r="S26" s="17">
        <v>92.7</v>
      </c>
      <c r="T26" s="17"/>
      <c r="U26" s="17">
        <v>96.429</v>
      </c>
      <c r="V26" s="22"/>
      <c r="W26" s="22"/>
      <c r="X26" s="22"/>
      <c r="Y26" s="17"/>
      <c r="Z26" s="17"/>
      <c r="AA26" s="17">
        <f>SUM(D26:Z26)</f>
        <v>629.148</v>
      </c>
      <c r="AB26" s="41">
        <f t="shared" si="4"/>
        <v>-78.72399999999993</v>
      </c>
      <c r="AC26" s="131"/>
      <c r="AD26" s="134" t="s">
        <v>32</v>
      </c>
      <c r="AE26" s="135">
        <f>$AA$58</f>
        <v>518.344</v>
      </c>
      <c r="AF26" s="133"/>
      <c r="AG26" s="8"/>
    </row>
    <row r="27" spans="2:33" ht="15">
      <c r="B27" s="44" t="s">
        <v>22</v>
      </c>
      <c r="C27" s="45">
        <f>1831.389+65.383+750+7.999+92.66-0.02-11.7</f>
        <v>2735.711</v>
      </c>
      <c r="D27" s="17"/>
      <c r="E27" s="17"/>
      <c r="F27" s="17">
        <v>0.2</v>
      </c>
      <c r="G27" s="17">
        <v>3.2</v>
      </c>
      <c r="H27" s="17"/>
      <c r="I27" s="17">
        <v>188.8</v>
      </c>
      <c r="J27" s="22"/>
      <c r="K27" s="17">
        <v>89.06</v>
      </c>
      <c r="L27" s="17">
        <v>86.725</v>
      </c>
      <c r="M27" s="17"/>
      <c r="N27" s="17">
        <v>25.438</v>
      </c>
      <c r="O27" s="17"/>
      <c r="P27" s="17">
        <v>7.1</v>
      </c>
      <c r="Q27" s="17">
        <v>150.391</v>
      </c>
      <c r="R27" s="17"/>
      <c r="S27" s="17">
        <v>37.8</v>
      </c>
      <c r="T27" s="17"/>
      <c r="U27" s="17">
        <v>150.205</v>
      </c>
      <c r="V27" s="22"/>
      <c r="W27" s="22"/>
      <c r="X27" s="22"/>
      <c r="Y27" s="17"/>
      <c r="Z27" s="17"/>
      <c r="AA27" s="17">
        <f>SUM(D27:Z27)</f>
        <v>738.919</v>
      </c>
      <c r="AB27" s="41">
        <f t="shared" si="4"/>
        <v>-1996.792</v>
      </c>
      <c r="AC27" s="131"/>
      <c r="AD27" s="134" t="s">
        <v>33</v>
      </c>
      <c r="AE27" s="135">
        <f>$AA$50+$AA$73+$AA$78+$AA$79+$AA$83+$AA$75+$AA$77+$AA$80+$AA$81+$AA$82</f>
        <v>8667.918</v>
      </c>
      <c r="AF27" s="133"/>
      <c r="AG27" s="8"/>
    </row>
    <row r="28" spans="2:33" ht="15">
      <c r="B28" s="44" t="s">
        <v>24</v>
      </c>
      <c r="C28" s="45">
        <f>1902.149-0.29-7.999+35.365-18-22.1-0.01</f>
        <v>1889.115</v>
      </c>
      <c r="D28" s="17"/>
      <c r="E28" s="17"/>
      <c r="F28" s="17">
        <v>5.6</v>
      </c>
      <c r="G28" s="17"/>
      <c r="H28" s="17"/>
      <c r="I28" s="17">
        <v>145.2</v>
      </c>
      <c r="J28" s="17"/>
      <c r="K28" s="17">
        <f>80.441</f>
        <v>80.441</v>
      </c>
      <c r="L28" s="17">
        <v>410.517</v>
      </c>
      <c r="M28" s="17"/>
      <c r="N28" s="17">
        <f>11.308+1.386</f>
        <v>12.693999999999999</v>
      </c>
      <c r="O28" s="17"/>
      <c r="P28" s="17">
        <f>8.1+18.1</f>
        <v>26.200000000000003</v>
      </c>
      <c r="Q28" s="17">
        <v>18.628</v>
      </c>
      <c r="R28" s="17"/>
      <c r="S28" s="17">
        <v>36</v>
      </c>
      <c r="T28" s="17"/>
      <c r="U28" s="17">
        <f>183.929+1.09</f>
        <v>185.019</v>
      </c>
      <c r="V28" s="17">
        <f>11.03+97.2</f>
        <v>108.23</v>
      </c>
      <c r="W28" s="17">
        <f>-0.165</f>
        <v>-0.165</v>
      </c>
      <c r="X28" s="17"/>
      <c r="Y28" s="17"/>
      <c r="Z28" s="17"/>
      <c r="AA28" s="17">
        <f>SUM(D28:Z28)</f>
        <v>1028.364</v>
      </c>
      <c r="AB28" s="41">
        <f t="shared" si="4"/>
        <v>-860.751</v>
      </c>
      <c r="AC28" s="131"/>
      <c r="AD28" s="133"/>
      <c r="AE28" s="136"/>
      <c r="AF28" s="133"/>
      <c r="AG28" s="8"/>
    </row>
    <row r="29" spans="2:33" ht="27.75">
      <c r="B29" s="42" t="s">
        <v>34</v>
      </c>
      <c r="C29" s="43">
        <f>C30</f>
        <v>777.808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153.2</v>
      </c>
      <c r="J29" s="43">
        <f t="shared" si="7"/>
        <v>0</v>
      </c>
      <c r="K29" s="43">
        <f t="shared" si="7"/>
        <v>36.532</v>
      </c>
      <c r="L29" s="43">
        <f t="shared" si="7"/>
        <v>0</v>
      </c>
      <c r="M29" s="43">
        <f t="shared" si="7"/>
        <v>0</v>
      </c>
      <c r="N29" s="43">
        <f t="shared" si="7"/>
        <v>51.385</v>
      </c>
      <c r="O29" s="43">
        <f t="shared" si="7"/>
        <v>0</v>
      </c>
      <c r="P29" s="43">
        <f t="shared" si="7"/>
        <v>18.2</v>
      </c>
      <c r="Q29" s="43">
        <f>Q30</f>
        <v>0</v>
      </c>
      <c r="R29" s="43">
        <f>R30</f>
        <v>0</v>
      </c>
      <c r="S29" s="43">
        <f t="shared" si="7"/>
        <v>107.1</v>
      </c>
      <c r="T29" s="43">
        <f t="shared" si="7"/>
        <v>0</v>
      </c>
      <c r="U29" s="43">
        <f t="shared" si="7"/>
        <v>0</v>
      </c>
      <c r="V29" s="43">
        <f t="shared" si="7"/>
        <v>4.73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371.14699999999993</v>
      </c>
      <c r="AB29" s="41">
        <f t="shared" si="4"/>
        <v>-406.66100000000006</v>
      </c>
      <c r="AC29" s="131"/>
      <c r="AD29" s="130"/>
      <c r="AE29" s="132"/>
      <c r="AG29" s="8"/>
    </row>
    <row r="30" spans="2:31" ht="15">
      <c r="B30" s="47" t="s">
        <v>35</v>
      </c>
      <c r="C30" s="34">
        <f>677.808+100</f>
        <v>777.808</v>
      </c>
      <c r="D30" s="22"/>
      <c r="E30" s="22"/>
      <c r="F30" s="22"/>
      <c r="G30" s="22"/>
      <c r="H30" s="22"/>
      <c r="I30" s="22">
        <v>153.2</v>
      </c>
      <c r="J30" s="22"/>
      <c r="K30" s="22">
        <v>36.532</v>
      </c>
      <c r="L30" s="22"/>
      <c r="M30" s="22"/>
      <c r="N30" s="22">
        <v>51.385</v>
      </c>
      <c r="O30" s="22"/>
      <c r="P30" s="22">
        <v>18.2</v>
      </c>
      <c r="Q30" s="22"/>
      <c r="R30" s="22"/>
      <c r="S30" s="22">
        <v>107.1</v>
      </c>
      <c r="T30" s="22"/>
      <c r="U30" s="22"/>
      <c r="V30" s="22">
        <v>4.73</v>
      </c>
      <c r="W30" s="22"/>
      <c r="X30" s="22"/>
      <c r="Y30" s="34"/>
      <c r="Z30" s="34"/>
      <c r="AA30" s="17">
        <f aca="true" t="shared" si="8" ref="AA30:AA35">SUM(D30:Z30)</f>
        <v>371.14699999999993</v>
      </c>
      <c r="AB30" s="41">
        <f t="shared" si="4"/>
        <v>-406.66100000000006</v>
      </c>
      <c r="AE30" s="48"/>
    </row>
    <row r="31" spans="2:31" ht="42" hidden="1">
      <c r="B31" s="42" t="s">
        <v>36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7.75">
      <c r="A32" s="1" t="s">
        <v>37</v>
      </c>
      <c r="B32" s="42" t="s">
        <v>38</v>
      </c>
      <c r="C32" s="43">
        <f>519.708-9.436-6.02-0.934-2.3-0.1-12.711-1.95-76.489</f>
        <v>409.7679999999999</v>
      </c>
      <c r="D32" s="43"/>
      <c r="E32" s="43"/>
      <c r="F32" s="43"/>
      <c r="G32" s="43"/>
      <c r="H32" s="43"/>
      <c r="I32" s="43">
        <v>4.1</v>
      </c>
      <c r="J32" s="43"/>
      <c r="K32" s="43">
        <v>41.712</v>
      </c>
      <c r="L32" s="43">
        <v>1.254</v>
      </c>
      <c r="M32" s="43"/>
      <c r="N32" s="43">
        <v>0.6</v>
      </c>
      <c r="O32" s="43"/>
      <c r="P32" s="43"/>
      <c r="Q32" s="43">
        <v>8.793</v>
      </c>
      <c r="R32" s="43"/>
      <c r="S32" s="43">
        <v>70.3</v>
      </c>
      <c r="T32" s="43"/>
      <c r="U32" s="43"/>
      <c r="V32" s="43"/>
      <c r="W32" s="43"/>
      <c r="X32" s="43"/>
      <c r="Y32" s="43"/>
      <c r="Z32" s="43"/>
      <c r="AA32" s="43">
        <f t="shared" si="8"/>
        <v>126.759</v>
      </c>
      <c r="AB32" s="41">
        <f t="shared" si="4"/>
        <v>-283.0089999999999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2">
      <c r="B33" s="42" t="s">
        <v>39</v>
      </c>
      <c r="C33" s="43">
        <f>611.656-322.423</f>
        <v>289.23299999999995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122.5</v>
      </c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122.5</v>
      </c>
      <c r="AB33" s="41">
        <f t="shared" si="4"/>
        <v>-166.73299999999995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2">
      <c r="B34" s="42" t="s">
        <v>40</v>
      </c>
      <c r="C34" s="43">
        <f>0.00059+183.088</f>
        <v>183.08858999999998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>
        <v>183.1</v>
      </c>
      <c r="T34" s="49"/>
      <c r="U34" s="43"/>
      <c r="V34" s="43"/>
      <c r="W34" s="43"/>
      <c r="X34" s="43"/>
      <c r="Y34" s="43"/>
      <c r="Z34" s="43"/>
      <c r="AA34" s="43">
        <f t="shared" si="8"/>
        <v>183.1</v>
      </c>
      <c r="AB34" s="41">
        <f t="shared" si="4"/>
        <v>0.011410000000012133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42">
      <c r="B35" s="42" t="s">
        <v>41</v>
      </c>
      <c r="C35" s="43">
        <f>27.777+139.335</f>
        <v>167.11200000000002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>
        <v>167.111</v>
      </c>
      <c r="V35" s="43"/>
      <c r="W35" s="43"/>
      <c r="X35" s="43"/>
      <c r="Y35" s="43"/>
      <c r="Z35" s="43"/>
      <c r="AA35" s="43">
        <f t="shared" si="8"/>
        <v>167.111</v>
      </c>
      <c r="AB35" s="41">
        <f t="shared" si="4"/>
        <v>-0.0010000000000331966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">
      <c r="B36" s="42" t="s">
        <v>42</v>
      </c>
      <c r="C36" s="43">
        <f>SUM(C37:C41)</f>
        <v>1066.876</v>
      </c>
      <c r="D36" s="43">
        <f>SUM(D37:D41)</f>
        <v>0</v>
      </c>
      <c r="E36" s="43">
        <f>SUM(E37:E41)</f>
        <v>0</v>
      </c>
      <c r="F36" s="43">
        <f>SUM(F37:F41)</f>
        <v>0</v>
      </c>
      <c r="G36" s="43">
        <f aca="true" t="shared" si="9" ref="G36:S36">SUM(G37:G41)</f>
        <v>0</v>
      </c>
      <c r="H36" s="43">
        <f t="shared" si="9"/>
        <v>0</v>
      </c>
      <c r="I36" s="43">
        <f t="shared" si="9"/>
        <v>2.4</v>
      </c>
      <c r="J36" s="43">
        <f t="shared" si="9"/>
        <v>0</v>
      </c>
      <c r="K36" s="43">
        <f t="shared" si="9"/>
        <v>0</v>
      </c>
      <c r="L36" s="43">
        <f t="shared" si="9"/>
        <v>487.35699999999997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4.395</v>
      </c>
      <c r="R36" s="43">
        <f t="shared" si="9"/>
        <v>0</v>
      </c>
      <c r="S36" s="43">
        <f t="shared" si="9"/>
        <v>0</v>
      </c>
      <c r="T36" s="43">
        <f>SUM(T37:T41)</f>
        <v>0</v>
      </c>
      <c r="U36" s="43">
        <f>SUM(U37:U41)</f>
        <v>394.674</v>
      </c>
      <c r="V36" s="43">
        <f aca="true" t="shared" si="10" ref="V36:AA36">SUM(V37:V41)</f>
        <v>0</v>
      </c>
      <c r="W36" s="43">
        <f t="shared" si="10"/>
        <v>0</v>
      </c>
      <c r="X36" s="43">
        <f t="shared" si="10"/>
        <v>0</v>
      </c>
      <c r="Y36" s="43">
        <f t="shared" si="10"/>
        <v>0</v>
      </c>
      <c r="Z36" s="43">
        <f>SUM(Z37:Z41)</f>
        <v>0</v>
      </c>
      <c r="AA36" s="43">
        <f t="shared" si="10"/>
        <v>888.826</v>
      </c>
      <c r="AB36" s="41">
        <f t="shared" si="4"/>
        <v>-178.04999999999995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">
      <c r="B37" s="44" t="s">
        <v>20</v>
      </c>
      <c r="C37" s="45">
        <f>661.404+254.897+46.843</f>
        <v>963.1439999999999</v>
      </c>
      <c r="D37" s="17"/>
      <c r="E37" s="17"/>
      <c r="F37" s="17"/>
      <c r="G37" s="17"/>
      <c r="H37" s="17"/>
      <c r="I37" s="17"/>
      <c r="J37" s="22"/>
      <c r="K37" s="17"/>
      <c r="L37" s="17">
        <v>480.077</v>
      </c>
      <c r="M37" s="17"/>
      <c r="N37" s="17"/>
      <c r="O37" s="17"/>
      <c r="P37" s="50"/>
      <c r="Q37" s="17"/>
      <c r="R37" s="50"/>
      <c r="S37" s="17"/>
      <c r="T37" s="17"/>
      <c r="U37" s="17">
        <v>386.534</v>
      </c>
      <c r="V37" s="22"/>
      <c r="W37" s="22"/>
      <c r="X37" s="17"/>
      <c r="Y37" s="17"/>
      <c r="Z37" s="17"/>
      <c r="AA37" s="17">
        <f>SUM(D37:Z37)</f>
        <v>866.611</v>
      </c>
      <c r="AB37" s="41">
        <f t="shared" si="4"/>
        <v>-96.5329999999999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">
      <c r="B38" s="44" t="s">
        <v>29</v>
      </c>
      <c r="C38" s="45">
        <v>2.066</v>
      </c>
      <c r="D38" s="17"/>
      <c r="E38" s="17"/>
      <c r="F38" s="17"/>
      <c r="G38" s="17"/>
      <c r="H38" s="17"/>
      <c r="I38" s="17"/>
      <c r="J38" s="22"/>
      <c r="K38" s="17"/>
      <c r="L38" s="17">
        <v>1.774</v>
      </c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1.774</v>
      </c>
      <c r="AB38" s="41">
        <f t="shared" si="4"/>
        <v>-0.2919999999999998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">
      <c r="B39" s="44" t="s">
        <v>31</v>
      </c>
      <c r="C39" s="45">
        <f>6.6-6.6</f>
        <v>0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/>
      <c r="S39" s="17"/>
      <c r="T39" s="17"/>
      <c r="U39" s="17"/>
      <c r="V39" s="22"/>
      <c r="W39" s="22"/>
      <c r="X39" s="17"/>
      <c r="Y39" s="17"/>
      <c r="Z39" s="17"/>
      <c r="AA39" s="17">
        <f>SUM(D39:Z39)</f>
        <v>0</v>
      </c>
      <c r="AB39" s="41">
        <f t="shared" si="4"/>
        <v>0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">
      <c r="B40" s="44" t="s">
        <v>22</v>
      </c>
      <c r="C40" s="45">
        <f>69.257+0.118-1.308-1.9-15.15-0.021</f>
        <v>50.99599999999999</v>
      </c>
      <c r="D40" s="17"/>
      <c r="E40" s="17"/>
      <c r="F40" s="17"/>
      <c r="G40" s="17"/>
      <c r="H40" s="17"/>
      <c r="I40" s="17">
        <v>1.4</v>
      </c>
      <c r="J40" s="17"/>
      <c r="K40" s="17"/>
      <c r="L40" s="17"/>
      <c r="M40" s="17"/>
      <c r="N40" s="17"/>
      <c r="O40" s="17"/>
      <c r="P40" s="50"/>
      <c r="Q40" s="17">
        <v>4.247</v>
      </c>
      <c r="R40" s="50"/>
      <c r="S40" s="17"/>
      <c r="T40" s="17"/>
      <c r="U40" s="17"/>
      <c r="V40" s="22"/>
      <c r="W40" s="22"/>
      <c r="X40" s="17"/>
      <c r="Y40" s="17"/>
      <c r="Z40" s="17"/>
      <c r="AA40" s="17">
        <f>SUM(D40:Z40)</f>
        <v>5.647</v>
      </c>
      <c r="AB40" s="41">
        <f t="shared" si="4"/>
        <v>-45.34899999999999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">
      <c r="B41" s="44" t="s">
        <v>24</v>
      </c>
      <c r="C41" s="45">
        <f>44.249-1.669-0.01+8.1</f>
        <v>50.67000000000001</v>
      </c>
      <c r="D41" s="17"/>
      <c r="E41" s="17"/>
      <c r="F41" s="17"/>
      <c r="G41" s="17"/>
      <c r="H41" s="17"/>
      <c r="I41" s="17">
        <v>1</v>
      </c>
      <c r="J41" s="17"/>
      <c r="K41" s="17"/>
      <c r="L41" s="17">
        <v>5.506</v>
      </c>
      <c r="M41" s="17"/>
      <c r="N41" s="17"/>
      <c r="O41" s="17"/>
      <c r="P41" s="17"/>
      <c r="Q41" s="17">
        <v>0.148</v>
      </c>
      <c r="R41" s="17"/>
      <c r="S41" s="17"/>
      <c r="T41" s="17"/>
      <c r="U41" s="17">
        <v>8.14</v>
      </c>
      <c r="V41" s="17"/>
      <c r="W41" s="17"/>
      <c r="X41" s="17"/>
      <c r="Y41" s="17"/>
      <c r="Z41" s="17"/>
      <c r="AA41" s="17">
        <f>SUM(D41:Z41)</f>
        <v>14.794</v>
      </c>
      <c r="AB41" s="41">
        <f t="shared" si="4"/>
        <v>-35.876000000000005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">
      <c r="B42" s="42" t="s">
        <v>43</v>
      </c>
      <c r="C42" s="43">
        <f aca="true" t="shared" si="11" ref="C42:S42">SUM(C43:C45)</f>
        <v>295.66400000000004</v>
      </c>
      <c r="D42" s="43">
        <f t="shared" si="11"/>
        <v>0</v>
      </c>
      <c r="E42" s="43">
        <f t="shared" si="11"/>
        <v>0</v>
      </c>
      <c r="F42" s="43">
        <f t="shared" si="11"/>
        <v>0</v>
      </c>
      <c r="G42" s="43">
        <f t="shared" si="11"/>
        <v>0</v>
      </c>
      <c r="H42" s="43">
        <f t="shared" si="11"/>
        <v>0</v>
      </c>
      <c r="I42" s="43">
        <f t="shared" si="11"/>
        <v>0</v>
      </c>
      <c r="J42" s="43">
        <f t="shared" si="11"/>
        <v>0</v>
      </c>
      <c r="K42" s="43">
        <f t="shared" si="11"/>
        <v>61.473</v>
      </c>
      <c r="L42" s="43">
        <f t="shared" si="11"/>
        <v>0</v>
      </c>
      <c r="M42" s="43">
        <f t="shared" si="11"/>
        <v>0</v>
      </c>
      <c r="N42" s="43">
        <f t="shared" si="11"/>
        <v>0</v>
      </c>
      <c r="O42" s="43">
        <f t="shared" si="11"/>
        <v>0</v>
      </c>
      <c r="P42" s="43">
        <f t="shared" si="11"/>
        <v>1.7</v>
      </c>
      <c r="Q42" s="43">
        <f t="shared" si="11"/>
        <v>3.297</v>
      </c>
      <c r="R42" s="43">
        <f t="shared" si="11"/>
        <v>0</v>
      </c>
      <c r="S42" s="43">
        <f t="shared" si="11"/>
        <v>0</v>
      </c>
      <c r="T42" s="43">
        <f>SUM(T43:T45)</f>
        <v>0</v>
      </c>
      <c r="U42" s="43">
        <f>SUM(U43:U45)</f>
        <v>143.363</v>
      </c>
      <c r="V42" s="43">
        <f aca="true" t="shared" si="12" ref="V42:AA42">SUM(V43:V45)</f>
        <v>0</v>
      </c>
      <c r="W42" s="43">
        <f t="shared" si="12"/>
        <v>0</v>
      </c>
      <c r="X42" s="43">
        <f t="shared" si="12"/>
        <v>0</v>
      </c>
      <c r="Y42" s="43">
        <f t="shared" si="12"/>
        <v>0</v>
      </c>
      <c r="Z42" s="43">
        <f>SUM(Z43:Z45)</f>
        <v>0</v>
      </c>
      <c r="AA42" s="43">
        <f t="shared" si="12"/>
        <v>209.83299999999997</v>
      </c>
      <c r="AB42" s="41">
        <f t="shared" si="4"/>
        <v>-85.83100000000007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">
      <c r="B43" s="44" t="s">
        <v>20</v>
      </c>
      <c r="C43" s="45">
        <f>353.727+21.6-96.7-15.4</f>
        <v>263.22700000000003</v>
      </c>
      <c r="D43" s="17"/>
      <c r="E43" s="17"/>
      <c r="F43" s="17"/>
      <c r="G43" s="17"/>
      <c r="H43" s="17"/>
      <c r="I43" s="17"/>
      <c r="J43" s="22"/>
      <c r="K43" s="17">
        <v>58.875</v>
      </c>
      <c r="L43" s="17"/>
      <c r="M43" s="17"/>
      <c r="N43" s="17"/>
      <c r="O43" s="17"/>
      <c r="P43" s="50"/>
      <c r="Q43" s="17">
        <v>1.29</v>
      </c>
      <c r="R43" s="50"/>
      <c r="S43" s="17"/>
      <c r="T43" s="17"/>
      <c r="U43" s="17">
        <v>142.726</v>
      </c>
      <c r="V43" s="22"/>
      <c r="W43" s="22"/>
      <c r="X43" s="17"/>
      <c r="Y43" s="17"/>
      <c r="Z43" s="17"/>
      <c r="AA43" s="17">
        <f>SUM(D43:Z43)</f>
        <v>202.891</v>
      </c>
      <c r="AB43" s="41">
        <f t="shared" si="4"/>
        <v>-60.33600000000004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">
      <c r="B44" s="44" t="s">
        <v>22</v>
      </c>
      <c r="C44" s="45">
        <f>30.853-0.758-5.9</f>
        <v>24.195</v>
      </c>
      <c r="D44" s="17"/>
      <c r="E44" s="17"/>
      <c r="F44" s="17"/>
      <c r="G44" s="17"/>
      <c r="H44" s="17"/>
      <c r="I44" s="17"/>
      <c r="J44" s="22"/>
      <c r="K44" s="17"/>
      <c r="L44" s="17"/>
      <c r="M44" s="17"/>
      <c r="N44" s="17"/>
      <c r="O44" s="17"/>
      <c r="P44" s="17">
        <v>1.7</v>
      </c>
      <c r="Q44" s="17"/>
      <c r="R44" s="17"/>
      <c r="S44" s="17"/>
      <c r="T44" s="17"/>
      <c r="U44" s="17"/>
      <c r="V44" s="22"/>
      <c r="W44" s="22"/>
      <c r="X44" s="17"/>
      <c r="Y44" s="17"/>
      <c r="Z44" s="17"/>
      <c r="AA44" s="17">
        <f>SUM(D44:Z44)</f>
        <v>1.7</v>
      </c>
      <c r="AB44" s="41">
        <f t="shared" si="4"/>
        <v>-22.495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">
      <c r="B45" s="44" t="s">
        <v>24</v>
      </c>
      <c r="C45" s="45">
        <f>4.484+1.971+1.787</f>
        <v>8.242</v>
      </c>
      <c r="D45" s="17"/>
      <c r="E45" s="17"/>
      <c r="F45" s="17"/>
      <c r="G45" s="17"/>
      <c r="H45" s="17"/>
      <c r="I45" s="17"/>
      <c r="J45" s="17"/>
      <c r="K45" s="17">
        <v>2.598</v>
      </c>
      <c r="L45" s="17"/>
      <c r="M45" s="17"/>
      <c r="N45" s="17"/>
      <c r="O45" s="17"/>
      <c r="P45" s="17"/>
      <c r="Q45" s="17">
        <v>2.007</v>
      </c>
      <c r="R45" s="17"/>
      <c r="S45" s="17"/>
      <c r="T45" s="17"/>
      <c r="U45" s="17">
        <v>0.637</v>
      </c>
      <c r="V45" s="17"/>
      <c r="W45" s="17"/>
      <c r="X45" s="17"/>
      <c r="Y45" s="17"/>
      <c r="Z45" s="17"/>
      <c r="AA45" s="17">
        <f>SUM(D45:Z45)</f>
        <v>5.242000000000001</v>
      </c>
      <c r="AB45" s="41">
        <f t="shared" si="4"/>
        <v>-3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">
      <c r="B46" s="42" t="s">
        <v>44</v>
      </c>
      <c r="C46" s="43">
        <f aca="true" t="shared" si="13" ref="C46:Y46">SUM(C47:C49)</f>
        <v>127.69799999999998</v>
      </c>
      <c r="D46" s="43">
        <f t="shared" si="13"/>
        <v>0</v>
      </c>
      <c r="E46" s="43">
        <f t="shared" si="13"/>
        <v>0</v>
      </c>
      <c r="F46" s="43">
        <f t="shared" si="13"/>
        <v>0</v>
      </c>
      <c r="G46" s="43">
        <f t="shared" si="13"/>
        <v>75.6</v>
      </c>
      <c r="H46" s="43">
        <f t="shared" si="13"/>
        <v>0</v>
      </c>
      <c r="I46" s="43">
        <f t="shared" si="13"/>
        <v>0</v>
      </c>
      <c r="J46" s="43">
        <f t="shared" si="13"/>
        <v>0</v>
      </c>
      <c r="K46" s="43">
        <f t="shared" si="13"/>
        <v>0</v>
      </c>
      <c r="L46" s="43">
        <f t="shared" si="13"/>
        <v>0</v>
      </c>
      <c r="M46" s="43">
        <f t="shared" si="13"/>
        <v>0</v>
      </c>
      <c r="N46" s="43">
        <f t="shared" si="13"/>
        <v>0</v>
      </c>
      <c r="O46" s="43">
        <f t="shared" si="13"/>
        <v>0</v>
      </c>
      <c r="P46" s="43">
        <f t="shared" si="13"/>
        <v>0</v>
      </c>
      <c r="Q46" s="43">
        <f t="shared" si="13"/>
        <v>0</v>
      </c>
      <c r="R46" s="43">
        <f t="shared" si="13"/>
        <v>0</v>
      </c>
      <c r="S46" s="43">
        <f t="shared" si="13"/>
        <v>34.199999999999996</v>
      </c>
      <c r="T46" s="43">
        <f>SUM(T47:T49)</f>
        <v>0</v>
      </c>
      <c r="U46" s="43">
        <f t="shared" si="13"/>
        <v>0.06</v>
      </c>
      <c r="V46" s="43">
        <f t="shared" si="13"/>
        <v>0</v>
      </c>
      <c r="W46" s="43">
        <f t="shared" si="13"/>
        <v>0</v>
      </c>
      <c r="X46" s="43">
        <f t="shared" si="13"/>
        <v>0</v>
      </c>
      <c r="Y46" s="43">
        <f t="shared" si="13"/>
        <v>0</v>
      </c>
      <c r="Z46" s="43">
        <f>SUM(Z47:Z49)</f>
        <v>0</v>
      </c>
      <c r="AA46" s="43">
        <f>SUM(D46:Y46)</f>
        <v>109.85999999999999</v>
      </c>
      <c r="AB46" s="41">
        <f t="shared" si="4"/>
        <v>-17.837999999999994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">
      <c r="B47" s="44" t="s">
        <v>20</v>
      </c>
      <c r="C47" s="45">
        <f>382.364-201.9-68.7</f>
        <v>111.76399999999997</v>
      </c>
      <c r="D47" s="17"/>
      <c r="E47" s="17"/>
      <c r="F47" s="17"/>
      <c r="G47" s="17">
        <v>75.6</v>
      </c>
      <c r="H47" s="17"/>
      <c r="I47" s="17"/>
      <c r="J47" s="22"/>
      <c r="K47" s="17"/>
      <c r="L47" s="17"/>
      <c r="M47" s="17"/>
      <c r="N47" s="17"/>
      <c r="O47" s="17"/>
      <c r="P47" s="17"/>
      <c r="Q47" s="17"/>
      <c r="R47" s="17"/>
      <c r="S47" s="17">
        <v>28.9</v>
      </c>
      <c r="T47" s="17"/>
      <c r="U47" s="17"/>
      <c r="V47" s="22"/>
      <c r="W47" s="22"/>
      <c r="X47" s="22"/>
      <c r="Y47" s="22"/>
      <c r="Z47" s="22"/>
      <c r="AA47" s="17">
        <f>SUM(D47:Z47)</f>
        <v>104.5</v>
      </c>
      <c r="AB47" s="41">
        <f t="shared" si="4"/>
        <v>-7.263999999999967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">
      <c r="B48" s="44" t="s">
        <v>22</v>
      </c>
      <c r="C48" s="45">
        <f>10.001</f>
        <v>10.001</v>
      </c>
      <c r="D48" s="17"/>
      <c r="E48" s="17"/>
      <c r="F48" s="17"/>
      <c r="G48" s="17"/>
      <c r="H48" s="17"/>
      <c r="I48" s="17"/>
      <c r="J48" s="22"/>
      <c r="K48" s="17"/>
      <c r="L48" s="17"/>
      <c r="M48" s="17"/>
      <c r="N48" s="17"/>
      <c r="O48" s="17"/>
      <c r="P48" s="50"/>
      <c r="Q48" s="17"/>
      <c r="R48" s="50"/>
      <c r="S48" s="17"/>
      <c r="T48" s="17"/>
      <c r="U48" s="17"/>
      <c r="V48" s="22"/>
      <c r="W48" s="17"/>
      <c r="X48" s="22"/>
      <c r="Y48" s="22"/>
      <c r="Z48" s="22"/>
      <c r="AA48" s="17">
        <f>SUM(D48:Z48)</f>
        <v>0</v>
      </c>
      <c r="AB48" s="41">
        <f t="shared" si="4"/>
        <v>-10.001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2:40" s="1" customFormat="1" ht="15">
      <c r="B49" s="44" t="s">
        <v>24</v>
      </c>
      <c r="C49" s="45">
        <v>5.933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>
        <v>5.3</v>
      </c>
      <c r="T49" s="17"/>
      <c r="U49" s="17">
        <v>0.06</v>
      </c>
      <c r="V49" s="17"/>
      <c r="W49" s="17"/>
      <c r="X49" s="17"/>
      <c r="Y49" s="17"/>
      <c r="Z49" s="17"/>
      <c r="AA49" s="17">
        <f>SUM(D49:Z49)</f>
        <v>5.359999999999999</v>
      </c>
      <c r="AB49" s="41">
        <f t="shared" si="4"/>
        <v>-0.5730000000000004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1:40" s="1" customFormat="1" ht="15">
      <c r="A50" s="1">
        <v>90501</v>
      </c>
      <c r="B50" s="42" t="s">
        <v>45</v>
      </c>
      <c r="C50" s="43">
        <f>C51+C52</f>
        <v>69.86500000000001</v>
      </c>
      <c r="D50" s="43">
        <f aca="true" t="shared" si="14" ref="D50:Y50">D51+D52</f>
        <v>0</v>
      </c>
      <c r="E50" s="43">
        <f t="shared" si="14"/>
        <v>0</v>
      </c>
      <c r="F50" s="43">
        <f t="shared" si="14"/>
        <v>0</v>
      </c>
      <c r="G50" s="43">
        <f t="shared" si="14"/>
        <v>0</v>
      </c>
      <c r="H50" s="43">
        <f t="shared" si="14"/>
        <v>0</v>
      </c>
      <c r="I50" s="43">
        <f t="shared" si="14"/>
        <v>13.8</v>
      </c>
      <c r="J50" s="43">
        <f t="shared" si="14"/>
        <v>0</v>
      </c>
      <c r="K50" s="43">
        <f t="shared" si="14"/>
        <v>0</v>
      </c>
      <c r="L50" s="43">
        <f t="shared" si="14"/>
        <v>5.6</v>
      </c>
      <c r="M50" s="43">
        <f t="shared" si="14"/>
        <v>0</v>
      </c>
      <c r="N50" s="43">
        <f t="shared" si="14"/>
        <v>0</v>
      </c>
      <c r="O50" s="43">
        <f t="shared" si="14"/>
        <v>0</v>
      </c>
      <c r="P50" s="43">
        <f t="shared" si="14"/>
        <v>0</v>
      </c>
      <c r="Q50" s="43">
        <f t="shared" si="14"/>
        <v>0</v>
      </c>
      <c r="R50" s="43">
        <f t="shared" si="14"/>
        <v>0</v>
      </c>
      <c r="S50" s="43">
        <f t="shared" si="14"/>
        <v>0</v>
      </c>
      <c r="T50" s="43">
        <f>T51+T52</f>
        <v>0</v>
      </c>
      <c r="U50" s="43">
        <f>U51+U52</f>
        <v>0</v>
      </c>
      <c r="V50" s="43">
        <f t="shared" si="14"/>
        <v>14.705</v>
      </c>
      <c r="W50" s="43">
        <f t="shared" si="14"/>
        <v>0</v>
      </c>
      <c r="X50" s="43">
        <f t="shared" si="14"/>
        <v>0</v>
      </c>
      <c r="Y50" s="43">
        <f t="shared" si="14"/>
        <v>0</v>
      </c>
      <c r="Z50" s="43">
        <f>Z51+Z52</f>
        <v>0</v>
      </c>
      <c r="AA50" s="43">
        <f>SUM(D50:Y50)</f>
        <v>34.105</v>
      </c>
      <c r="AB50" s="41">
        <f t="shared" si="4"/>
        <v>-35.76000000000001</v>
      </c>
      <c r="AD50" s="8"/>
      <c r="AE50" s="48"/>
      <c r="AF50" s="3"/>
      <c r="AG50" s="4"/>
      <c r="AH50" s="4"/>
      <c r="AI50" s="4"/>
      <c r="AJ50" s="4"/>
      <c r="AK50" s="4"/>
      <c r="AL50" s="4"/>
      <c r="AM50" s="4"/>
      <c r="AN50" s="4"/>
    </row>
    <row r="51" spans="2:40" s="51" customFormat="1" ht="15">
      <c r="B51" s="44" t="s">
        <v>20</v>
      </c>
      <c r="C51" s="34">
        <f>112.188-73.96-17.186</f>
        <v>21.04200000000001</v>
      </c>
      <c r="D51" s="22"/>
      <c r="E51" s="22"/>
      <c r="F51" s="22"/>
      <c r="G51" s="22"/>
      <c r="H51" s="22"/>
      <c r="I51" s="22"/>
      <c r="J51" s="22"/>
      <c r="K51" s="22"/>
      <c r="L51" s="22">
        <v>5.6</v>
      </c>
      <c r="M51" s="22"/>
      <c r="N51" s="22"/>
      <c r="O51" s="22"/>
      <c r="P51" s="22"/>
      <c r="Q51" s="22"/>
      <c r="R51" s="22"/>
      <c r="S51" s="22"/>
      <c r="T51" s="22"/>
      <c r="U51" s="22"/>
      <c r="V51" s="22">
        <v>14.705</v>
      </c>
      <c r="W51" s="22"/>
      <c r="X51" s="22"/>
      <c r="Y51" s="22"/>
      <c r="Z51" s="22"/>
      <c r="AA51" s="17">
        <f>SUM(D51:Z51)</f>
        <v>20.305</v>
      </c>
      <c r="AB51" s="41">
        <f t="shared" si="4"/>
        <v>-0.737000000000009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2:40" s="51" customFormat="1" ht="15">
      <c r="B52" s="44" t="s">
        <v>35</v>
      </c>
      <c r="C52" s="34">
        <v>48.823</v>
      </c>
      <c r="D52" s="22"/>
      <c r="E52" s="22"/>
      <c r="F52" s="22"/>
      <c r="G52" s="22"/>
      <c r="H52" s="22"/>
      <c r="I52" s="22">
        <v>13.8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17">
        <f>SUM(D52:Z52)</f>
        <v>13.8</v>
      </c>
      <c r="AB52" s="41">
        <f t="shared" si="4"/>
        <v>-35.022999999999996</v>
      </c>
      <c r="AD52" s="52"/>
      <c r="AE52" s="53"/>
      <c r="AF52" s="54"/>
      <c r="AG52" s="55"/>
      <c r="AH52" s="55"/>
      <c r="AI52" s="55"/>
      <c r="AJ52" s="55"/>
      <c r="AK52" s="55"/>
      <c r="AL52" s="55"/>
      <c r="AM52" s="55"/>
      <c r="AN52" s="55"/>
    </row>
    <row r="53" spans="1:40" s="1" customFormat="1" ht="15">
      <c r="A53" s="1">
        <v>110000</v>
      </c>
      <c r="B53" s="42" t="s">
        <v>46</v>
      </c>
      <c r="C53" s="43">
        <f aca="true" t="shared" si="15" ref="C53:AA53">SUM(C54:C57)</f>
        <v>1089.6550000000002</v>
      </c>
      <c r="D53" s="43">
        <f t="shared" si="15"/>
        <v>0</v>
      </c>
      <c r="E53" s="43">
        <f t="shared" si="15"/>
        <v>0</v>
      </c>
      <c r="F53" s="43">
        <f t="shared" si="15"/>
        <v>0</v>
      </c>
      <c r="G53" s="43">
        <f t="shared" si="15"/>
        <v>219.4</v>
      </c>
      <c r="H53" s="43">
        <f t="shared" si="15"/>
        <v>0</v>
      </c>
      <c r="I53" s="43">
        <f t="shared" si="15"/>
        <v>0</v>
      </c>
      <c r="J53" s="43">
        <f t="shared" si="15"/>
        <v>0</v>
      </c>
      <c r="K53" s="43">
        <f t="shared" si="15"/>
        <v>65.763</v>
      </c>
      <c r="L53" s="43">
        <f t="shared" si="15"/>
        <v>85.8</v>
      </c>
      <c r="M53" s="43">
        <f t="shared" si="15"/>
        <v>0</v>
      </c>
      <c r="N53" s="43">
        <f t="shared" si="15"/>
        <v>6.493</v>
      </c>
      <c r="O53" s="43">
        <f t="shared" si="15"/>
        <v>0</v>
      </c>
      <c r="P53" s="43">
        <f t="shared" si="15"/>
        <v>14.2</v>
      </c>
      <c r="Q53" s="43">
        <f t="shared" si="15"/>
        <v>0</v>
      </c>
      <c r="R53" s="43">
        <f t="shared" si="15"/>
        <v>0</v>
      </c>
      <c r="S53" s="43">
        <f t="shared" si="15"/>
        <v>5.2</v>
      </c>
      <c r="T53" s="43">
        <f>SUM(T54:T57)</f>
        <v>0</v>
      </c>
      <c r="U53" s="43">
        <f t="shared" si="15"/>
        <v>284.491</v>
      </c>
      <c r="V53" s="43">
        <f t="shared" si="15"/>
        <v>0</v>
      </c>
      <c r="W53" s="43">
        <f t="shared" si="15"/>
        <v>0</v>
      </c>
      <c r="X53" s="43">
        <f t="shared" si="15"/>
        <v>0</v>
      </c>
      <c r="Y53" s="43">
        <f t="shared" si="15"/>
        <v>0</v>
      </c>
      <c r="Z53" s="43">
        <f>SUM(Z54:Z57)</f>
        <v>0</v>
      </c>
      <c r="AA53" s="43">
        <f t="shared" si="15"/>
        <v>681.347</v>
      </c>
      <c r="AB53" s="41">
        <f t="shared" si="4"/>
        <v>-408.3080000000002</v>
      </c>
      <c r="AC53" s="5"/>
      <c r="AD53" s="3"/>
      <c r="AE53" s="3"/>
      <c r="AF53" s="3"/>
      <c r="AG53" s="4"/>
      <c r="AH53" s="4"/>
      <c r="AI53" s="4"/>
      <c r="AJ53" s="4"/>
      <c r="AK53" s="4"/>
      <c r="AL53" s="4"/>
      <c r="AM53" s="4"/>
      <c r="AN53" s="4"/>
    </row>
    <row r="54" spans="2:28" ht="15">
      <c r="B54" s="44" t="s">
        <v>20</v>
      </c>
      <c r="C54" s="45">
        <f>767.254+6.8+0.316+12.34-22.51+14.3-1.31</f>
        <v>777.19</v>
      </c>
      <c r="D54" s="17"/>
      <c r="E54" s="17"/>
      <c r="F54" s="17"/>
      <c r="G54" s="17">
        <v>208.1</v>
      </c>
      <c r="H54" s="17"/>
      <c r="I54" s="17"/>
      <c r="J54" s="22"/>
      <c r="K54" s="17">
        <v>63.72</v>
      </c>
      <c r="L54" s="17">
        <v>83.213</v>
      </c>
      <c r="M54" s="17"/>
      <c r="N54" s="17">
        <v>2.829</v>
      </c>
      <c r="O54" s="17"/>
      <c r="P54" s="50"/>
      <c r="Q54" s="17"/>
      <c r="R54" s="50"/>
      <c r="S54" s="17"/>
      <c r="T54" s="17"/>
      <c r="U54" s="17">
        <f>219.791+62.562</f>
        <v>282.353</v>
      </c>
      <c r="V54" s="22"/>
      <c r="W54" s="22"/>
      <c r="X54" s="22"/>
      <c r="Y54" s="17"/>
      <c r="Z54" s="17"/>
      <c r="AA54" s="17">
        <f>SUM(D54:Z54)</f>
        <v>640.215</v>
      </c>
      <c r="AB54" s="41">
        <f t="shared" si="4"/>
        <v>-136.97500000000002</v>
      </c>
    </row>
    <row r="55" spans="2:28" ht="15">
      <c r="B55" s="44" t="s">
        <v>22</v>
      </c>
      <c r="C55" s="45">
        <f>196.145+17.07-0.266-2.87-3.7-0.24-0.42+1.375-42.52-0.239+3.72</f>
        <v>168.055</v>
      </c>
      <c r="D55" s="17"/>
      <c r="E55" s="17"/>
      <c r="F55" s="17"/>
      <c r="G55" s="17">
        <v>3.3</v>
      </c>
      <c r="H55" s="17"/>
      <c r="I55" s="17"/>
      <c r="J55" s="22"/>
      <c r="K55" s="17"/>
      <c r="L55" s="17"/>
      <c r="M55" s="17"/>
      <c r="N55" s="17"/>
      <c r="O55" s="17"/>
      <c r="P55" s="50"/>
      <c r="Q55" s="17"/>
      <c r="R55" s="50"/>
      <c r="S55" s="17">
        <v>5.2</v>
      </c>
      <c r="T55" s="17"/>
      <c r="U55" s="17"/>
      <c r="V55" s="22"/>
      <c r="W55" s="22"/>
      <c r="X55" s="22"/>
      <c r="Y55" s="17"/>
      <c r="Z55" s="17"/>
      <c r="AA55" s="17">
        <f>SUM(D55:Z55)</f>
        <v>8.5</v>
      </c>
      <c r="AB55" s="41">
        <f t="shared" si="4"/>
        <v>-159.555</v>
      </c>
    </row>
    <row r="56" spans="2:28" ht="15">
      <c r="B56" s="44" t="s">
        <v>47</v>
      </c>
      <c r="C56" s="45">
        <f>7.28-1.58-1.5</f>
        <v>4.2</v>
      </c>
      <c r="D56" s="17"/>
      <c r="E56" s="17"/>
      <c r="F56" s="17"/>
      <c r="G56" s="17"/>
      <c r="H56" s="17"/>
      <c r="I56" s="17"/>
      <c r="J56" s="22"/>
      <c r="K56" s="17"/>
      <c r="L56" s="17"/>
      <c r="M56" s="17"/>
      <c r="N56" s="17"/>
      <c r="O56" s="17"/>
      <c r="P56" s="50"/>
      <c r="Q56" s="17"/>
      <c r="R56" s="50"/>
      <c r="S56" s="17"/>
      <c r="T56" s="17"/>
      <c r="U56" s="17"/>
      <c r="V56" s="22"/>
      <c r="W56" s="22"/>
      <c r="X56" s="22"/>
      <c r="Y56" s="17"/>
      <c r="Z56" s="17"/>
      <c r="AA56" s="17">
        <f>SUM(D56:Z56)</f>
        <v>0</v>
      </c>
      <c r="AB56" s="41">
        <f t="shared" si="4"/>
        <v>-4.2</v>
      </c>
    </row>
    <row r="57" spans="2:29" ht="15">
      <c r="B57" s="44" t="s">
        <v>24</v>
      </c>
      <c r="C57" s="45">
        <f>76.435-4.67-12.1+32.768+47.816-0.039</f>
        <v>140.21</v>
      </c>
      <c r="D57" s="17"/>
      <c r="E57" s="17"/>
      <c r="F57" s="17"/>
      <c r="G57" s="17">
        <v>8</v>
      </c>
      <c r="H57" s="17"/>
      <c r="I57" s="17"/>
      <c r="J57" s="17"/>
      <c r="K57" s="17">
        <v>2.043</v>
      </c>
      <c r="L57" s="17">
        <v>2.587</v>
      </c>
      <c r="M57" s="17"/>
      <c r="N57" s="17">
        <v>3.664</v>
      </c>
      <c r="O57" s="17"/>
      <c r="P57" s="17">
        <v>14.2</v>
      </c>
      <c r="Q57" s="17"/>
      <c r="R57" s="17"/>
      <c r="S57" s="17"/>
      <c r="T57" s="17"/>
      <c r="U57" s="17">
        <v>2.138</v>
      </c>
      <c r="V57" s="17"/>
      <c r="W57" s="17"/>
      <c r="X57" s="17"/>
      <c r="Y57" s="17"/>
      <c r="Z57" s="17"/>
      <c r="AA57" s="17">
        <f>SUM(D57:Z57)</f>
        <v>32.632</v>
      </c>
      <c r="AB57" s="41">
        <f t="shared" si="4"/>
        <v>-107.578</v>
      </c>
      <c r="AC57" s="1"/>
    </row>
    <row r="58" spans="1:40" s="1" customFormat="1" ht="15">
      <c r="A58" s="1">
        <v>130000</v>
      </c>
      <c r="B58" s="42" t="s">
        <v>48</v>
      </c>
      <c r="C58" s="43">
        <f>SUM(C59:C63)</f>
        <v>831.98351</v>
      </c>
      <c r="D58" s="43">
        <f aca="true" t="shared" si="16" ref="D58:AA58">SUM(D59:D63)</f>
        <v>0</v>
      </c>
      <c r="E58" s="43">
        <f t="shared" si="16"/>
        <v>0</v>
      </c>
      <c r="F58" s="43">
        <f t="shared" si="16"/>
        <v>22.8</v>
      </c>
      <c r="G58" s="43">
        <f t="shared" si="16"/>
        <v>7.9</v>
      </c>
      <c r="H58" s="43">
        <f t="shared" si="16"/>
        <v>0</v>
      </c>
      <c r="I58" s="43">
        <f t="shared" si="16"/>
        <v>0</v>
      </c>
      <c r="J58" s="43">
        <f t="shared" si="16"/>
        <v>0</v>
      </c>
      <c r="K58" s="43">
        <f t="shared" si="16"/>
        <v>0</v>
      </c>
      <c r="L58" s="43">
        <f t="shared" si="16"/>
        <v>109.438</v>
      </c>
      <c r="M58" s="43">
        <f t="shared" si="16"/>
        <v>0</v>
      </c>
      <c r="N58" s="43">
        <f t="shared" si="16"/>
        <v>15.152000000000001</v>
      </c>
      <c r="O58" s="43">
        <f t="shared" si="16"/>
        <v>0</v>
      </c>
      <c r="P58" s="43">
        <f t="shared" si="16"/>
        <v>5</v>
      </c>
      <c r="Q58" s="43">
        <f t="shared" si="16"/>
        <v>0</v>
      </c>
      <c r="R58" s="43">
        <f t="shared" si="16"/>
        <v>0</v>
      </c>
      <c r="S58" s="43">
        <f t="shared" si="16"/>
        <v>28.299999999999997</v>
      </c>
      <c r="T58" s="43">
        <f>SUM(T59:T63)</f>
        <v>0</v>
      </c>
      <c r="U58" s="43">
        <f>SUM(U59:U63)</f>
        <v>0</v>
      </c>
      <c r="V58" s="43">
        <f t="shared" si="16"/>
        <v>329.77799999999996</v>
      </c>
      <c r="W58" s="43">
        <f t="shared" si="16"/>
        <v>-0.024</v>
      </c>
      <c r="X58" s="43">
        <f t="shared" si="16"/>
        <v>0</v>
      </c>
      <c r="Y58" s="43">
        <f t="shared" si="16"/>
        <v>0</v>
      </c>
      <c r="Z58" s="43">
        <f>SUM(Z59:Z63)</f>
        <v>0</v>
      </c>
      <c r="AA58" s="43">
        <f t="shared" si="16"/>
        <v>518.344</v>
      </c>
      <c r="AB58" s="41">
        <f t="shared" si="4"/>
        <v>-313.63951</v>
      </c>
      <c r="AC58" s="5"/>
      <c r="AD58" s="3"/>
      <c r="AE58" s="3"/>
      <c r="AF58" s="3"/>
      <c r="AG58" s="4"/>
      <c r="AH58" s="4"/>
      <c r="AI58" s="4"/>
      <c r="AJ58" s="4"/>
      <c r="AK58" s="4"/>
      <c r="AL58" s="4"/>
      <c r="AM58" s="4"/>
      <c r="AN58" s="4"/>
    </row>
    <row r="59" spans="2:28" ht="15">
      <c r="B59" s="44" t="s">
        <v>20</v>
      </c>
      <c r="C59" s="45">
        <f>456.844-15.1</f>
        <v>441.74399999999997</v>
      </c>
      <c r="D59" s="17"/>
      <c r="E59" s="17"/>
      <c r="F59" s="17"/>
      <c r="G59" s="17"/>
      <c r="H59" s="17"/>
      <c r="I59" s="17"/>
      <c r="J59" s="50"/>
      <c r="K59" s="17"/>
      <c r="L59" s="17">
        <v>101.848</v>
      </c>
      <c r="M59" s="17"/>
      <c r="N59" s="17"/>
      <c r="O59" s="17"/>
      <c r="P59" s="50"/>
      <c r="Q59" s="17"/>
      <c r="R59" s="50"/>
      <c r="S59" s="17"/>
      <c r="T59" s="17"/>
      <c r="U59" s="17"/>
      <c r="V59" s="22">
        <v>297.913</v>
      </c>
      <c r="W59" s="22"/>
      <c r="X59" s="17"/>
      <c r="Y59" s="17"/>
      <c r="Z59" s="17"/>
      <c r="AA59" s="17">
        <f>SUM(D59:Z59)</f>
        <v>399.761</v>
      </c>
      <c r="AB59" s="41">
        <f t="shared" si="4"/>
        <v>-41.98299999999995</v>
      </c>
    </row>
    <row r="60" spans="2:28" ht="15">
      <c r="B60" s="44" t="s">
        <v>29</v>
      </c>
      <c r="C60" s="45">
        <v>0.00051</v>
      </c>
      <c r="D60" s="17"/>
      <c r="E60" s="17"/>
      <c r="F60" s="17"/>
      <c r="G60" s="17"/>
      <c r="H60" s="17"/>
      <c r="I60" s="17"/>
      <c r="J60" s="50"/>
      <c r="K60" s="17"/>
      <c r="L60" s="17"/>
      <c r="M60" s="17"/>
      <c r="N60" s="17"/>
      <c r="O60" s="17"/>
      <c r="P60" s="50"/>
      <c r="Q60" s="17"/>
      <c r="R60" s="50"/>
      <c r="S60" s="17"/>
      <c r="T60" s="17"/>
      <c r="U60" s="17"/>
      <c r="V60" s="22"/>
      <c r="W60" s="22"/>
      <c r="X60" s="17"/>
      <c r="Y60" s="17"/>
      <c r="Z60" s="17"/>
      <c r="AA60" s="17">
        <f>SUM(D60:Z60)</f>
        <v>0</v>
      </c>
      <c r="AB60" s="41">
        <f t="shared" si="4"/>
        <v>-0.00051</v>
      </c>
    </row>
    <row r="61" spans="2:28" ht="15">
      <c r="B61" s="44" t="s">
        <v>22</v>
      </c>
      <c r="C61" s="45">
        <f>86.322+4.8+1.9-1.2</f>
        <v>91.822</v>
      </c>
      <c r="D61" s="17"/>
      <c r="E61" s="17"/>
      <c r="F61" s="17">
        <v>5</v>
      </c>
      <c r="G61" s="17"/>
      <c r="H61" s="17"/>
      <c r="I61" s="17"/>
      <c r="J61" s="22"/>
      <c r="K61" s="17"/>
      <c r="L61" s="17"/>
      <c r="M61" s="17"/>
      <c r="N61" s="17">
        <v>8.717</v>
      </c>
      <c r="O61" s="17"/>
      <c r="P61" s="50"/>
      <c r="Q61" s="17"/>
      <c r="R61" s="17"/>
      <c r="S61" s="17">
        <v>0.2</v>
      </c>
      <c r="T61" s="17"/>
      <c r="U61" s="17"/>
      <c r="V61" s="22">
        <v>0.561</v>
      </c>
      <c r="W61" s="22">
        <v>-0.024</v>
      </c>
      <c r="X61" s="17"/>
      <c r="Y61" s="17"/>
      <c r="Z61" s="17"/>
      <c r="AA61" s="17">
        <f>SUM(D61:Z61)</f>
        <v>14.454</v>
      </c>
      <c r="AB61" s="41">
        <f t="shared" si="4"/>
        <v>-77.368</v>
      </c>
    </row>
    <row r="62" spans="2:28" ht="15">
      <c r="B62" s="44" t="s">
        <v>35</v>
      </c>
      <c r="C62" s="45">
        <v>66.92</v>
      </c>
      <c r="D62" s="17"/>
      <c r="E62" s="17"/>
      <c r="F62" s="17">
        <v>1</v>
      </c>
      <c r="G62" s="17">
        <v>7.9</v>
      </c>
      <c r="H62" s="17"/>
      <c r="I62" s="17"/>
      <c r="J62" s="22"/>
      <c r="K62" s="17"/>
      <c r="L62" s="17"/>
      <c r="M62" s="17"/>
      <c r="N62" s="17"/>
      <c r="O62" s="17"/>
      <c r="P62" s="17"/>
      <c r="Q62" s="17"/>
      <c r="R62" s="17"/>
      <c r="S62" s="17">
        <v>25.9</v>
      </c>
      <c r="T62" s="17"/>
      <c r="U62" s="17"/>
      <c r="V62" s="22"/>
      <c r="W62" s="17"/>
      <c r="X62" s="22"/>
      <c r="Y62" s="22"/>
      <c r="Z62" s="22"/>
      <c r="AA62" s="17">
        <f>SUM(D62:Z62)</f>
        <v>34.8</v>
      </c>
      <c r="AB62" s="41">
        <f t="shared" si="4"/>
        <v>-32.120000000000005</v>
      </c>
    </row>
    <row r="63" spans="2:28" ht="15">
      <c r="B63" s="44" t="s">
        <v>24</v>
      </c>
      <c r="C63" s="45">
        <f>105.146+41.79+77.041+7.52</f>
        <v>231.497</v>
      </c>
      <c r="D63" s="17"/>
      <c r="E63" s="17"/>
      <c r="F63" s="17">
        <v>16.8</v>
      </c>
      <c r="G63" s="17"/>
      <c r="H63" s="17"/>
      <c r="I63" s="17"/>
      <c r="J63" s="17"/>
      <c r="K63" s="17"/>
      <c r="L63" s="17">
        <v>7.59</v>
      </c>
      <c r="M63" s="17"/>
      <c r="N63" s="17">
        <v>6.435</v>
      </c>
      <c r="O63" s="17"/>
      <c r="P63" s="17">
        <v>5</v>
      </c>
      <c r="Q63" s="17"/>
      <c r="R63" s="17"/>
      <c r="S63" s="17">
        <v>2.2</v>
      </c>
      <c r="T63" s="17"/>
      <c r="U63" s="17"/>
      <c r="V63" s="17">
        <v>31.304</v>
      </c>
      <c r="W63" s="17"/>
      <c r="X63" s="17"/>
      <c r="Y63" s="17"/>
      <c r="Z63" s="17"/>
      <c r="AA63" s="17">
        <f>SUM(D63:Z63)</f>
        <v>69.32900000000001</v>
      </c>
      <c r="AB63" s="41">
        <f t="shared" si="4"/>
        <v>-162.168</v>
      </c>
    </row>
    <row r="64" spans="2:28" ht="27.75">
      <c r="B64" s="42" t="s">
        <v>49</v>
      </c>
      <c r="C64" s="43">
        <f>C65</f>
        <v>2462.364</v>
      </c>
      <c r="D64" s="43">
        <f>D65</f>
        <v>0</v>
      </c>
      <c r="E64" s="43">
        <f aca="true" t="shared" si="17" ref="E64:Y64">E65</f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0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0</v>
      </c>
      <c r="S64" s="43">
        <f t="shared" si="17"/>
        <v>0</v>
      </c>
      <c r="T64" s="43">
        <f t="shared" si="17"/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</f>
        <v>0</v>
      </c>
      <c r="AA64" s="43">
        <f>AA65</f>
        <v>0</v>
      </c>
      <c r="AB64" s="41">
        <f t="shared" si="4"/>
        <v>-2462.364</v>
      </c>
    </row>
    <row r="65" spans="2:28" ht="15">
      <c r="B65" s="44" t="s">
        <v>35</v>
      </c>
      <c r="C65" s="45">
        <v>2462.364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22">
        <f>SUM(D65:Z65)</f>
        <v>0</v>
      </c>
      <c r="AB65" s="41">
        <f t="shared" si="4"/>
        <v>-2462.364</v>
      </c>
    </row>
    <row r="66" spans="2:28" ht="15">
      <c r="B66" s="42" t="s">
        <v>50</v>
      </c>
      <c r="C66" s="43">
        <f>C67+C68</f>
        <v>4431.213000000001</v>
      </c>
      <c r="D66" s="43">
        <f aca="true" t="shared" si="18" ref="D66:AA66">D67+D68</f>
        <v>0</v>
      </c>
      <c r="E66" s="43">
        <f t="shared" si="18"/>
        <v>0</v>
      </c>
      <c r="F66" s="43">
        <f t="shared" si="18"/>
        <v>7.8</v>
      </c>
      <c r="G66" s="43">
        <f t="shared" si="18"/>
        <v>0</v>
      </c>
      <c r="H66" s="43">
        <f t="shared" si="18"/>
        <v>0</v>
      </c>
      <c r="I66" s="43">
        <f t="shared" si="18"/>
        <v>56.9</v>
      </c>
      <c r="J66" s="43">
        <f t="shared" si="18"/>
        <v>0</v>
      </c>
      <c r="K66" s="43">
        <f t="shared" si="18"/>
        <v>0</v>
      </c>
      <c r="L66" s="43">
        <f t="shared" si="18"/>
        <v>11.032</v>
      </c>
      <c r="M66" s="43">
        <f t="shared" si="18"/>
        <v>0</v>
      </c>
      <c r="N66" s="43">
        <f t="shared" si="18"/>
        <v>46.352000000000004</v>
      </c>
      <c r="O66" s="43">
        <f t="shared" si="18"/>
        <v>0</v>
      </c>
      <c r="P66" s="43">
        <f t="shared" si="18"/>
        <v>0</v>
      </c>
      <c r="Q66" s="43">
        <f t="shared" si="18"/>
        <v>1256.248</v>
      </c>
      <c r="R66" s="43">
        <f t="shared" si="18"/>
        <v>0</v>
      </c>
      <c r="S66" s="43">
        <f t="shared" si="18"/>
        <v>1.2</v>
      </c>
      <c r="T66" s="43">
        <f>T67+T68</f>
        <v>0</v>
      </c>
      <c r="U66" s="43">
        <f t="shared" si="18"/>
        <v>1.17</v>
      </c>
      <c r="V66" s="43">
        <f t="shared" si="18"/>
        <v>0</v>
      </c>
      <c r="W66" s="43">
        <f t="shared" si="18"/>
        <v>236.461</v>
      </c>
      <c r="X66" s="43">
        <f t="shared" si="18"/>
        <v>0</v>
      </c>
      <c r="Y66" s="43">
        <f t="shared" si="18"/>
        <v>0</v>
      </c>
      <c r="Z66" s="43">
        <f>Z67+Z68</f>
        <v>0</v>
      </c>
      <c r="AA66" s="43">
        <f t="shared" si="18"/>
        <v>1617.1630000000002</v>
      </c>
      <c r="AB66" s="41">
        <f t="shared" si="4"/>
        <v>-2814.05</v>
      </c>
    </row>
    <row r="67" spans="2:28" ht="15">
      <c r="B67" s="56" t="s">
        <v>51</v>
      </c>
      <c r="C67" s="34">
        <f>212.403-117+5-4.8</f>
        <v>95.603</v>
      </c>
      <c r="D67" s="22"/>
      <c r="E67" s="22"/>
      <c r="F67" s="22">
        <v>7.8</v>
      </c>
      <c r="G67" s="22"/>
      <c r="H67" s="22"/>
      <c r="I67" s="22"/>
      <c r="J67" s="22"/>
      <c r="K67" s="22"/>
      <c r="L67" s="22"/>
      <c r="M67" s="22"/>
      <c r="N67" s="22">
        <v>3.21</v>
      </c>
      <c r="O67" s="22"/>
      <c r="P67" s="22"/>
      <c r="Q67" s="22"/>
      <c r="R67" s="22"/>
      <c r="S67" s="22">
        <v>1.2</v>
      </c>
      <c r="T67" s="22"/>
      <c r="U67" s="22">
        <v>1.17</v>
      </c>
      <c r="V67" s="22"/>
      <c r="W67" s="22"/>
      <c r="X67" s="22"/>
      <c r="Y67" s="22"/>
      <c r="Z67" s="22"/>
      <c r="AA67" s="22">
        <f>SUM(D67:Z67)</f>
        <v>13.379999999999999</v>
      </c>
      <c r="AB67" s="41">
        <f t="shared" si="4"/>
        <v>-82.223</v>
      </c>
    </row>
    <row r="68" spans="2:28" ht="15">
      <c r="B68" s="56" t="s">
        <v>35</v>
      </c>
      <c r="C68" s="34">
        <f>554.685+3780.925</f>
        <v>4335.610000000001</v>
      </c>
      <c r="D68" s="22"/>
      <c r="E68" s="22"/>
      <c r="F68" s="22"/>
      <c r="G68" s="22"/>
      <c r="H68" s="22"/>
      <c r="I68" s="22">
        <v>56.9</v>
      </c>
      <c r="J68" s="22"/>
      <c r="K68" s="22"/>
      <c r="L68" s="22">
        <v>11.032</v>
      </c>
      <c r="M68" s="22"/>
      <c r="N68" s="22">
        <v>43.142</v>
      </c>
      <c r="O68" s="22"/>
      <c r="P68" s="22"/>
      <c r="Q68" s="22">
        <v>1256.248</v>
      </c>
      <c r="R68" s="22"/>
      <c r="S68" s="22"/>
      <c r="T68" s="22"/>
      <c r="U68" s="22"/>
      <c r="V68" s="22"/>
      <c r="W68" s="22">
        <v>236.461</v>
      </c>
      <c r="X68" s="22"/>
      <c r="Y68" s="22"/>
      <c r="Z68" s="22"/>
      <c r="AA68" s="22">
        <f>SUM(D68:Z68)</f>
        <v>1603.7830000000001</v>
      </c>
      <c r="AB68" s="41">
        <f t="shared" si="4"/>
        <v>-2731.827</v>
      </c>
    </row>
    <row r="69" spans="2:28" ht="15">
      <c r="B69" s="42" t="s">
        <v>52</v>
      </c>
      <c r="C69" s="43">
        <f>C70+C71</f>
        <v>44.304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>
        <f>Z70+Z71</f>
        <v>0</v>
      </c>
      <c r="AA69" s="43">
        <f>AA70+AA71</f>
        <v>0</v>
      </c>
      <c r="AB69" s="41">
        <f t="shared" si="4"/>
        <v>-44.304</v>
      </c>
    </row>
    <row r="70" spans="2:28" ht="15">
      <c r="B70" s="44" t="s">
        <v>22</v>
      </c>
      <c r="C70" s="34">
        <f>37.2-9.1</f>
        <v>28.1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>
        <f>SUM(D70:Z70)</f>
        <v>0</v>
      </c>
      <c r="AB70" s="41">
        <f t="shared" si="4"/>
        <v>-28.1</v>
      </c>
    </row>
    <row r="71" spans="2:28" ht="15">
      <c r="B71" s="44" t="s">
        <v>35</v>
      </c>
      <c r="C71" s="34">
        <v>16.204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>
        <f>SUM(D71:Z71)</f>
        <v>0</v>
      </c>
      <c r="AB71" s="41">
        <f t="shared" si="4"/>
        <v>-16.204</v>
      </c>
    </row>
    <row r="72" spans="2:28" ht="45" customHeight="1" hidden="1">
      <c r="B72" s="57" t="s">
        <v>53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>
        <f>SUM(D72:Z72)</f>
        <v>0</v>
      </c>
      <c r="AB72" s="41">
        <f t="shared" si="4"/>
        <v>0</v>
      </c>
    </row>
    <row r="73" spans="1:29" ht="15">
      <c r="A73" s="1">
        <v>170703</v>
      </c>
      <c r="B73" s="42" t="s">
        <v>54</v>
      </c>
      <c r="C73" s="43">
        <f>C74</f>
        <v>24.349999999999998</v>
      </c>
      <c r="D73" s="43">
        <f aca="true" t="shared" si="19" ref="D73:AA73">D74</f>
        <v>0</v>
      </c>
      <c r="E73" s="43">
        <f t="shared" si="19"/>
        <v>0</v>
      </c>
      <c r="F73" s="43">
        <f t="shared" si="19"/>
        <v>11.4</v>
      </c>
      <c r="G73" s="43">
        <f t="shared" si="19"/>
        <v>0</v>
      </c>
      <c r="H73" s="43">
        <f t="shared" si="19"/>
        <v>0</v>
      </c>
      <c r="I73" s="43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3">
        <f t="shared" si="19"/>
        <v>0</v>
      </c>
      <c r="Q73" s="43">
        <f t="shared" si="19"/>
        <v>0</v>
      </c>
      <c r="R73" s="43">
        <f t="shared" si="19"/>
        <v>0</v>
      </c>
      <c r="S73" s="43">
        <f t="shared" si="19"/>
        <v>10</v>
      </c>
      <c r="T73" s="43">
        <f t="shared" si="19"/>
        <v>0</v>
      </c>
      <c r="U73" s="43">
        <f t="shared" si="19"/>
        <v>0</v>
      </c>
      <c r="V73" s="43">
        <f t="shared" si="19"/>
        <v>0</v>
      </c>
      <c r="W73" s="43">
        <f t="shared" si="19"/>
        <v>0</v>
      </c>
      <c r="X73" s="43">
        <f t="shared" si="19"/>
        <v>0</v>
      </c>
      <c r="Y73" s="43">
        <f t="shared" si="19"/>
        <v>0</v>
      </c>
      <c r="Z73" s="43">
        <f t="shared" si="19"/>
        <v>0</v>
      </c>
      <c r="AA73" s="43">
        <f t="shared" si="19"/>
        <v>21.4</v>
      </c>
      <c r="AB73" s="41">
        <f t="shared" si="4"/>
        <v>-2.9499999999999993</v>
      </c>
      <c r="AC73" s="26"/>
    </row>
    <row r="74" spans="2:40" s="26" customFormat="1" ht="15">
      <c r="B74" s="56" t="s">
        <v>51</v>
      </c>
      <c r="C74" s="34">
        <f>37.15-12.8</f>
        <v>24.349999999999998</v>
      </c>
      <c r="D74" s="22"/>
      <c r="E74" s="22"/>
      <c r="F74" s="22">
        <v>11.4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>
        <v>10</v>
      </c>
      <c r="T74" s="22"/>
      <c r="U74" s="22"/>
      <c r="V74" s="22"/>
      <c r="W74" s="22"/>
      <c r="X74" s="22"/>
      <c r="Y74" s="22"/>
      <c r="Z74" s="22"/>
      <c r="AA74" s="22">
        <f aca="true" t="shared" si="20" ref="AA74:AA83">SUM(D74:Z74)</f>
        <v>21.4</v>
      </c>
      <c r="AB74" s="41">
        <f t="shared" si="4"/>
        <v>-2.9499999999999993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7">
      <c r="B75" s="57" t="s">
        <v>55</v>
      </c>
      <c r="C75" s="43">
        <v>10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0</v>
      </c>
      <c r="AB75" s="41">
        <f t="shared" si="4"/>
        <v>-10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">
      <c r="B76" s="57" t="s">
        <v>56</v>
      </c>
      <c r="C76" s="43">
        <f>322.078-322.078</f>
        <v>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>
        <f t="shared" si="20"/>
        <v>0</v>
      </c>
      <c r="AB76" s="41">
        <f t="shared" si="4"/>
        <v>0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">
      <c r="B77" s="57" t="s">
        <v>57</v>
      </c>
      <c r="C77" s="43">
        <f>8.1824+3.663</f>
        <v>11.8454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-11.8454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2:40" s="26" customFormat="1" ht="15">
      <c r="B78" s="57" t="s">
        <v>58</v>
      </c>
      <c r="C78" s="43">
        <f>527.155-527.154</f>
        <v>0.0009999999999763531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-0.0009999999999763531</v>
      </c>
      <c r="AD78" s="52"/>
      <c r="AE78" s="52"/>
      <c r="AF78" s="52"/>
      <c r="AG78" s="33"/>
      <c r="AH78" s="33"/>
      <c r="AI78" s="33"/>
      <c r="AJ78" s="33"/>
      <c r="AK78" s="33"/>
      <c r="AL78" s="33"/>
      <c r="AM78" s="33"/>
      <c r="AN78" s="33"/>
    </row>
    <row r="79" spans="1:40" s="1" customFormat="1" ht="15">
      <c r="A79" s="1">
        <v>250102</v>
      </c>
      <c r="B79" s="42" t="s">
        <v>59</v>
      </c>
      <c r="C79" s="43">
        <v>184.25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-184.25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55.5">
      <c r="B80" s="42" t="s">
        <v>60</v>
      </c>
      <c r="C80" s="43">
        <v>47.94</v>
      </c>
      <c r="D80" s="43"/>
      <c r="E80" s="43"/>
      <c r="F80" s="43"/>
      <c r="G80" s="43"/>
      <c r="H80" s="43"/>
      <c r="I80" s="43"/>
      <c r="J80" s="43"/>
      <c r="K80" s="43">
        <v>47.94</v>
      </c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47.94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71.25" customHeight="1">
      <c r="B81" s="42" t="s">
        <v>61</v>
      </c>
      <c r="C81" s="43">
        <v>250</v>
      </c>
      <c r="D81" s="43">
        <v>250</v>
      </c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250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55.5" hidden="1">
      <c r="B82" s="42" t="s">
        <v>62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>
        <f t="shared" si="20"/>
        <v>0</v>
      </c>
      <c r="AB82" s="41">
        <f t="shared" si="4"/>
        <v>0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42">
      <c r="B83" s="42" t="s">
        <v>63</v>
      </c>
      <c r="C83" s="43">
        <v>0</v>
      </c>
      <c r="D83" s="43">
        <v>1814.977</v>
      </c>
      <c r="E83" s="43"/>
      <c r="F83" s="43">
        <v>117.95</v>
      </c>
      <c r="G83" s="43">
        <v>3288</v>
      </c>
      <c r="H83" s="43"/>
      <c r="I83" s="43">
        <v>150.5</v>
      </c>
      <c r="J83" s="43"/>
      <c r="K83" s="43">
        <v>72.828</v>
      </c>
      <c r="L83" s="43">
        <v>19.2</v>
      </c>
      <c r="M83" s="43"/>
      <c r="N83" s="43">
        <v>197.265</v>
      </c>
      <c r="O83" s="43"/>
      <c r="P83" s="43">
        <v>784.1</v>
      </c>
      <c r="Q83" s="43">
        <v>284.238</v>
      </c>
      <c r="R83" s="43"/>
      <c r="S83" s="43">
        <v>962.6</v>
      </c>
      <c r="T83" s="43"/>
      <c r="U83" s="43">
        <v>185.811</v>
      </c>
      <c r="V83" s="43">
        <v>440.507</v>
      </c>
      <c r="W83" s="43">
        <v>-3.503</v>
      </c>
      <c r="X83" s="43"/>
      <c r="Y83" s="43"/>
      <c r="Z83" s="43"/>
      <c r="AA83" s="43">
        <f t="shared" si="20"/>
        <v>8314.473</v>
      </c>
      <c r="AB83" s="41">
        <f t="shared" si="4"/>
        <v>8314.473</v>
      </c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2:40" s="1" customFormat="1" ht="15">
      <c r="B84" s="58" t="s">
        <v>64</v>
      </c>
      <c r="C84" s="59">
        <f>SUM(C85:C91)</f>
        <v>34957.5765</v>
      </c>
      <c r="D84" s="59">
        <f aca="true" t="shared" si="21" ref="D84:AA84">SUM(D85:D91)</f>
        <v>2065.8010000000004</v>
      </c>
      <c r="E84" s="59">
        <f t="shared" si="21"/>
        <v>0</v>
      </c>
      <c r="F84" s="59">
        <f t="shared" si="21"/>
        <v>202.41000000000003</v>
      </c>
      <c r="G84" s="59">
        <f t="shared" si="21"/>
        <v>3626.7</v>
      </c>
      <c r="H84" s="59">
        <f t="shared" si="21"/>
        <v>0</v>
      </c>
      <c r="I84" s="59">
        <f t="shared" si="21"/>
        <v>1656.7</v>
      </c>
      <c r="J84" s="59">
        <f t="shared" si="21"/>
        <v>0</v>
      </c>
      <c r="K84" s="59">
        <f t="shared" si="21"/>
        <v>3785.996</v>
      </c>
      <c r="L84" s="59">
        <f t="shared" si="21"/>
        <v>2031.203</v>
      </c>
      <c r="M84" s="59">
        <f t="shared" si="21"/>
        <v>0</v>
      </c>
      <c r="N84" s="59">
        <f t="shared" si="21"/>
        <v>448.923</v>
      </c>
      <c r="O84" s="59">
        <f t="shared" si="21"/>
        <v>0</v>
      </c>
      <c r="P84" s="59">
        <f t="shared" si="21"/>
        <v>908.3</v>
      </c>
      <c r="Q84" s="59">
        <f t="shared" si="21"/>
        <v>2174.826</v>
      </c>
      <c r="R84" s="59">
        <f t="shared" si="21"/>
        <v>0</v>
      </c>
      <c r="S84" s="59">
        <f t="shared" si="21"/>
        <v>5056</v>
      </c>
      <c r="T84" s="59">
        <f>SUM(T85:T91)</f>
        <v>0</v>
      </c>
      <c r="U84" s="59">
        <f t="shared" si="21"/>
        <v>4212.544</v>
      </c>
      <c r="V84" s="59">
        <f t="shared" si="21"/>
        <v>1313.7150000000001</v>
      </c>
      <c r="W84" s="59">
        <f t="shared" si="21"/>
        <v>232.752</v>
      </c>
      <c r="X84" s="59">
        <f t="shared" si="21"/>
        <v>0</v>
      </c>
      <c r="Y84" s="59">
        <f t="shared" si="21"/>
        <v>0</v>
      </c>
      <c r="Z84" s="59">
        <f t="shared" si="21"/>
        <v>0</v>
      </c>
      <c r="AA84" s="59">
        <f t="shared" si="21"/>
        <v>27715.87</v>
      </c>
      <c r="AB84" s="41">
        <f aca="true" t="shared" si="22" ref="AB84:AB91">AA84-C84</f>
        <v>-7241.706500000004</v>
      </c>
      <c r="AC84" s="5"/>
      <c r="AD84" s="3"/>
      <c r="AE84" s="3"/>
      <c r="AF84" s="3"/>
      <c r="AG84" s="4"/>
      <c r="AH84" s="4"/>
      <c r="AI84" s="4"/>
      <c r="AJ84" s="4"/>
      <c r="AK84" s="4"/>
      <c r="AL84" s="4"/>
      <c r="AM84" s="4"/>
      <c r="AN84" s="4"/>
    </row>
    <row r="85" spans="1:40" s="8" customFormat="1" ht="15">
      <c r="A85" s="5"/>
      <c r="B85" s="44" t="s">
        <v>20</v>
      </c>
      <c r="C85" s="45">
        <f aca="true" t="shared" si="23" ref="C85:AA85">C20+C37+C43+C47+C51+C54+C59+C24</f>
        <v>17785.679000000004</v>
      </c>
      <c r="D85" s="45">
        <f t="shared" si="23"/>
        <v>0</v>
      </c>
      <c r="E85" s="45">
        <f t="shared" si="23"/>
        <v>0</v>
      </c>
      <c r="F85" s="45">
        <f t="shared" si="23"/>
        <v>0</v>
      </c>
      <c r="G85" s="45">
        <f t="shared" si="23"/>
        <v>295.6</v>
      </c>
      <c r="H85" s="45">
        <f t="shared" si="23"/>
        <v>0</v>
      </c>
      <c r="I85" s="45">
        <f t="shared" si="23"/>
        <v>765.5</v>
      </c>
      <c r="J85" s="45">
        <f t="shared" si="23"/>
        <v>0</v>
      </c>
      <c r="K85" s="45">
        <f t="shared" si="23"/>
        <v>3308.58</v>
      </c>
      <c r="L85" s="45">
        <f t="shared" si="23"/>
        <v>1386.955</v>
      </c>
      <c r="M85" s="45">
        <f t="shared" si="23"/>
        <v>0</v>
      </c>
      <c r="N85" s="45">
        <f t="shared" si="23"/>
        <v>2.829</v>
      </c>
      <c r="O85" s="45">
        <f t="shared" si="23"/>
        <v>0</v>
      </c>
      <c r="P85" s="45">
        <f t="shared" si="23"/>
        <v>0</v>
      </c>
      <c r="Q85" s="45">
        <f t="shared" si="23"/>
        <v>63.1</v>
      </c>
      <c r="R85" s="45">
        <f t="shared" si="23"/>
        <v>0</v>
      </c>
      <c r="S85" s="45">
        <f t="shared" si="23"/>
        <v>3466.6000000000004</v>
      </c>
      <c r="T85" s="45">
        <f t="shared" si="23"/>
        <v>0</v>
      </c>
      <c r="U85" s="45">
        <f t="shared" si="23"/>
        <v>3337.47</v>
      </c>
      <c r="V85" s="45">
        <f t="shared" si="23"/>
        <v>713.972</v>
      </c>
      <c r="W85" s="45">
        <f t="shared" si="23"/>
        <v>0</v>
      </c>
      <c r="X85" s="45">
        <f t="shared" si="23"/>
        <v>0</v>
      </c>
      <c r="Y85" s="45">
        <f t="shared" si="23"/>
        <v>0</v>
      </c>
      <c r="Z85" s="45">
        <f t="shared" si="23"/>
        <v>0</v>
      </c>
      <c r="AA85" s="45">
        <f t="shared" si="23"/>
        <v>13340.606</v>
      </c>
      <c r="AB85" s="41">
        <f t="shared" si="22"/>
        <v>-4445.073000000004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">
      <c r="A86" s="5"/>
      <c r="B86" s="44" t="s">
        <v>29</v>
      </c>
      <c r="C86" s="45">
        <f aca="true" t="shared" si="24" ref="C86:AA86">C25+C38+C60</f>
        <v>5.81251</v>
      </c>
      <c r="D86" s="45">
        <f t="shared" si="24"/>
        <v>0</v>
      </c>
      <c r="E86" s="45">
        <f t="shared" si="24"/>
        <v>0</v>
      </c>
      <c r="F86" s="45">
        <f t="shared" si="24"/>
        <v>0</v>
      </c>
      <c r="G86" s="45">
        <f t="shared" si="24"/>
        <v>0</v>
      </c>
      <c r="H86" s="45">
        <f t="shared" si="24"/>
        <v>0</v>
      </c>
      <c r="I86" s="45">
        <f t="shared" si="24"/>
        <v>0.7</v>
      </c>
      <c r="J86" s="45">
        <f t="shared" si="24"/>
        <v>0</v>
      </c>
      <c r="K86" s="45">
        <f t="shared" si="24"/>
        <v>0</v>
      </c>
      <c r="L86" s="45">
        <f t="shared" si="24"/>
        <v>2.776</v>
      </c>
      <c r="M86" s="45">
        <f t="shared" si="24"/>
        <v>0</v>
      </c>
      <c r="N86" s="45">
        <f t="shared" si="24"/>
        <v>0</v>
      </c>
      <c r="O86" s="45">
        <f t="shared" si="24"/>
        <v>0</v>
      </c>
      <c r="P86" s="45">
        <f t="shared" si="24"/>
        <v>0.1</v>
      </c>
      <c r="Q86" s="45">
        <f t="shared" si="24"/>
        <v>0</v>
      </c>
      <c r="R86" s="45">
        <f t="shared" si="24"/>
        <v>0</v>
      </c>
      <c r="S86" s="45">
        <f t="shared" si="24"/>
        <v>0</v>
      </c>
      <c r="T86" s="45">
        <f t="shared" si="24"/>
        <v>0</v>
      </c>
      <c r="U86" s="45">
        <f t="shared" si="24"/>
        <v>0</v>
      </c>
      <c r="V86" s="45">
        <f t="shared" si="24"/>
        <v>0</v>
      </c>
      <c r="W86" s="45">
        <f t="shared" si="24"/>
        <v>0</v>
      </c>
      <c r="X86" s="45">
        <f t="shared" si="24"/>
        <v>0</v>
      </c>
      <c r="Y86" s="45">
        <f t="shared" si="24"/>
        <v>0</v>
      </c>
      <c r="Z86" s="45">
        <f t="shared" si="24"/>
        <v>0</v>
      </c>
      <c r="AA86" s="45">
        <f t="shared" si="24"/>
        <v>3.576</v>
      </c>
      <c r="AB86" s="41">
        <f t="shared" si="22"/>
        <v>-2.2365099999999996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">
      <c r="A87" s="5"/>
      <c r="B87" s="44" t="s">
        <v>31</v>
      </c>
      <c r="C87" s="45">
        <f aca="true" t="shared" si="25" ref="C87:AA87">C26+C39</f>
        <v>707.872</v>
      </c>
      <c r="D87" s="45">
        <f t="shared" si="25"/>
        <v>0</v>
      </c>
      <c r="E87" s="45">
        <f t="shared" si="25"/>
        <v>0</v>
      </c>
      <c r="F87" s="45">
        <f t="shared" si="25"/>
        <v>1.96</v>
      </c>
      <c r="G87" s="45">
        <f t="shared" si="25"/>
        <v>0</v>
      </c>
      <c r="H87" s="45">
        <f t="shared" si="25"/>
        <v>0</v>
      </c>
      <c r="I87" s="45">
        <f t="shared" si="25"/>
        <v>75.4</v>
      </c>
      <c r="J87" s="45">
        <f t="shared" si="25"/>
        <v>0</v>
      </c>
      <c r="K87" s="45">
        <f t="shared" si="25"/>
        <v>94.895</v>
      </c>
      <c r="L87" s="45">
        <f t="shared" si="25"/>
        <v>69.774</v>
      </c>
      <c r="M87" s="45">
        <f t="shared" si="25"/>
        <v>0</v>
      </c>
      <c r="N87" s="45">
        <f t="shared" si="25"/>
        <v>80.25</v>
      </c>
      <c r="O87" s="45">
        <f t="shared" si="25"/>
        <v>0</v>
      </c>
      <c r="P87" s="45">
        <f t="shared" si="25"/>
        <v>38.1</v>
      </c>
      <c r="Q87" s="45">
        <f t="shared" si="25"/>
        <v>79.64</v>
      </c>
      <c r="R87" s="45">
        <f t="shared" si="25"/>
        <v>0</v>
      </c>
      <c r="S87" s="45">
        <f t="shared" si="25"/>
        <v>92.7</v>
      </c>
      <c r="T87" s="45">
        <f t="shared" si="25"/>
        <v>0</v>
      </c>
      <c r="U87" s="45">
        <f t="shared" si="25"/>
        <v>96.429</v>
      </c>
      <c r="V87" s="45">
        <f t="shared" si="25"/>
        <v>0</v>
      </c>
      <c r="W87" s="45">
        <f t="shared" si="25"/>
        <v>0</v>
      </c>
      <c r="X87" s="45">
        <f t="shared" si="25"/>
        <v>0</v>
      </c>
      <c r="Y87" s="45">
        <f t="shared" si="25"/>
        <v>0</v>
      </c>
      <c r="Z87" s="45">
        <f t="shared" si="25"/>
        <v>0</v>
      </c>
      <c r="AA87" s="45">
        <f t="shared" si="25"/>
        <v>629.148</v>
      </c>
      <c r="AB87" s="41">
        <f t="shared" si="22"/>
        <v>-78.72399999999993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">
      <c r="A88" s="5"/>
      <c r="B88" s="44" t="s">
        <v>22</v>
      </c>
      <c r="C88" s="45">
        <f aca="true" t="shared" si="26" ref="C88:AA88">C21+C27+C40+C44+C48+C55+C61+C70</f>
        <v>3436.201</v>
      </c>
      <c r="D88" s="45">
        <f t="shared" si="26"/>
        <v>0</v>
      </c>
      <c r="E88" s="45">
        <f t="shared" si="26"/>
        <v>0</v>
      </c>
      <c r="F88" s="45">
        <f t="shared" si="26"/>
        <v>5.2</v>
      </c>
      <c r="G88" s="45">
        <f t="shared" si="26"/>
        <v>6.5</v>
      </c>
      <c r="H88" s="45">
        <f t="shared" si="26"/>
        <v>0</v>
      </c>
      <c r="I88" s="45">
        <f t="shared" si="26"/>
        <v>190.4</v>
      </c>
      <c r="J88" s="45">
        <f t="shared" si="26"/>
        <v>0</v>
      </c>
      <c r="K88" s="45">
        <f t="shared" si="26"/>
        <v>89.06</v>
      </c>
      <c r="L88" s="45">
        <f t="shared" si="26"/>
        <v>86.725</v>
      </c>
      <c r="M88" s="45">
        <f t="shared" si="26"/>
        <v>0</v>
      </c>
      <c r="N88" s="45">
        <f t="shared" si="26"/>
        <v>34.427</v>
      </c>
      <c r="O88" s="45">
        <f t="shared" si="26"/>
        <v>0</v>
      </c>
      <c r="P88" s="45">
        <f t="shared" si="26"/>
        <v>11.399999999999999</v>
      </c>
      <c r="Q88" s="45">
        <f t="shared" si="26"/>
        <v>174.113</v>
      </c>
      <c r="R88" s="45">
        <f t="shared" si="26"/>
        <v>0</v>
      </c>
      <c r="S88" s="45">
        <f t="shared" si="26"/>
        <v>44.2</v>
      </c>
      <c r="T88" s="45">
        <f t="shared" si="26"/>
        <v>0</v>
      </c>
      <c r="U88" s="45">
        <f t="shared" si="26"/>
        <v>150.205</v>
      </c>
      <c r="V88" s="45">
        <f t="shared" si="26"/>
        <v>0.561</v>
      </c>
      <c r="W88" s="45">
        <f t="shared" si="26"/>
        <v>-0.024</v>
      </c>
      <c r="X88" s="45">
        <f t="shared" si="26"/>
        <v>0</v>
      </c>
      <c r="Y88" s="45">
        <f t="shared" si="26"/>
        <v>0</v>
      </c>
      <c r="Z88" s="45">
        <f t="shared" si="26"/>
        <v>0</v>
      </c>
      <c r="AA88" s="45">
        <f t="shared" si="26"/>
        <v>792.767</v>
      </c>
      <c r="AB88" s="41">
        <f t="shared" si="22"/>
        <v>-2643.434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">
      <c r="A89" s="5"/>
      <c r="B89" s="44" t="s">
        <v>47</v>
      </c>
      <c r="C89" s="45">
        <f aca="true" t="shared" si="27" ref="C89:AA89">C56+C76</f>
        <v>4.2</v>
      </c>
      <c r="D89" s="45">
        <f t="shared" si="27"/>
        <v>0</v>
      </c>
      <c r="E89" s="45">
        <f t="shared" si="27"/>
        <v>0</v>
      </c>
      <c r="F89" s="45">
        <f t="shared" si="27"/>
        <v>0</v>
      </c>
      <c r="G89" s="45">
        <f t="shared" si="27"/>
        <v>0</v>
      </c>
      <c r="H89" s="45">
        <f t="shared" si="27"/>
        <v>0</v>
      </c>
      <c r="I89" s="45">
        <f t="shared" si="27"/>
        <v>0</v>
      </c>
      <c r="J89" s="45">
        <f t="shared" si="27"/>
        <v>0</v>
      </c>
      <c r="K89" s="45">
        <f t="shared" si="27"/>
        <v>0</v>
      </c>
      <c r="L89" s="45">
        <f t="shared" si="27"/>
        <v>0</v>
      </c>
      <c r="M89" s="45">
        <f t="shared" si="27"/>
        <v>0</v>
      </c>
      <c r="N89" s="45">
        <f t="shared" si="27"/>
        <v>0</v>
      </c>
      <c r="O89" s="45">
        <f t="shared" si="27"/>
        <v>0</v>
      </c>
      <c r="P89" s="45">
        <f t="shared" si="27"/>
        <v>0</v>
      </c>
      <c r="Q89" s="45">
        <f t="shared" si="27"/>
        <v>0</v>
      </c>
      <c r="R89" s="45">
        <f t="shared" si="27"/>
        <v>0</v>
      </c>
      <c r="S89" s="45">
        <f t="shared" si="27"/>
        <v>0</v>
      </c>
      <c r="T89" s="45">
        <f t="shared" si="27"/>
        <v>0</v>
      </c>
      <c r="U89" s="45">
        <f t="shared" si="27"/>
        <v>0</v>
      </c>
      <c r="V89" s="45">
        <f t="shared" si="27"/>
        <v>0</v>
      </c>
      <c r="W89" s="45">
        <f t="shared" si="27"/>
        <v>0</v>
      </c>
      <c r="X89" s="45">
        <f t="shared" si="27"/>
        <v>0</v>
      </c>
      <c r="Y89" s="45">
        <f t="shared" si="27"/>
        <v>0</v>
      </c>
      <c r="Z89" s="45">
        <f t="shared" si="27"/>
        <v>0</v>
      </c>
      <c r="AA89" s="45">
        <f t="shared" si="27"/>
        <v>0</v>
      </c>
      <c r="AB89" s="41">
        <f t="shared" si="22"/>
        <v>-4.2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">
      <c r="A90" s="5"/>
      <c r="B90" s="44" t="s">
        <v>35</v>
      </c>
      <c r="C90" s="45">
        <f>C30+C52+C62+C68+C31+C71+C80+C81+C82+C65</f>
        <v>8005.669</v>
      </c>
      <c r="D90" s="45">
        <f aca="true" t="shared" si="28" ref="D90:AA90">D30+D52+D62+D68+D31+D71+D80+D81+D82+D65</f>
        <v>250</v>
      </c>
      <c r="E90" s="45">
        <f t="shared" si="28"/>
        <v>0</v>
      </c>
      <c r="F90" s="45">
        <f t="shared" si="28"/>
        <v>1</v>
      </c>
      <c r="G90" s="45">
        <f t="shared" si="28"/>
        <v>7.9</v>
      </c>
      <c r="H90" s="45">
        <f t="shared" si="28"/>
        <v>0</v>
      </c>
      <c r="I90" s="45">
        <f t="shared" si="28"/>
        <v>223.9</v>
      </c>
      <c r="J90" s="45">
        <f t="shared" si="28"/>
        <v>0</v>
      </c>
      <c r="K90" s="45">
        <f t="shared" si="28"/>
        <v>84.472</v>
      </c>
      <c r="L90" s="45">
        <f t="shared" si="28"/>
        <v>11.032</v>
      </c>
      <c r="M90" s="45">
        <f t="shared" si="28"/>
        <v>0</v>
      </c>
      <c r="N90" s="45">
        <f t="shared" si="28"/>
        <v>94.527</v>
      </c>
      <c r="O90" s="45">
        <f t="shared" si="28"/>
        <v>0</v>
      </c>
      <c r="P90" s="45">
        <f t="shared" si="28"/>
        <v>18.2</v>
      </c>
      <c r="Q90" s="45">
        <f t="shared" si="28"/>
        <v>1256.248</v>
      </c>
      <c r="R90" s="45">
        <f t="shared" si="28"/>
        <v>0</v>
      </c>
      <c r="S90" s="45">
        <f t="shared" si="28"/>
        <v>133</v>
      </c>
      <c r="T90" s="45">
        <f t="shared" si="28"/>
        <v>0</v>
      </c>
      <c r="U90" s="45">
        <f t="shared" si="28"/>
        <v>0</v>
      </c>
      <c r="V90" s="45">
        <f t="shared" si="28"/>
        <v>4.73</v>
      </c>
      <c r="W90" s="45">
        <f t="shared" si="28"/>
        <v>236.461</v>
      </c>
      <c r="X90" s="45">
        <f t="shared" si="28"/>
        <v>0</v>
      </c>
      <c r="Y90" s="45">
        <f t="shared" si="28"/>
        <v>0</v>
      </c>
      <c r="Z90" s="45">
        <f t="shared" si="28"/>
        <v>0</v>
      </c>
      <c r="AA90" s="45">
        <f t="shared" si="28"/>
        <v>2321.4700000000003</v>
      </c>
      <c r="AB90" s="41">
        <f t="shared" si="22"/>
        <v>-5684.199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">
      <c r="A91" s="5"/>
      <c r="B91" s="44" t="s">
        <v>24</v>
      </c>
      <c r="C91" s="45">
        <f>C22+C28+C32+C33+C34+C41+C45+C49+C57+C63+C74+C78+C79+C83+C67+C77+C75+C35+C72</f>
        <v>5012.142990000001</v>
      </c>
      <c r="D91" s="45">
        <f aca="true" t="shared" si="29" ref="D91:AA91">D22+D28+D32+D33+D41+D45+D49+D57+D63+D74+D78+D79+D83+D67+D77+D75+D35+D72+D34</f>
        <v>1815.8010000000002</v>
      </c>
      <c r="E91" s="45">
        <f t="shared" si="29"/>
        <v>0</v>
      </c>
      <c r="F91" s="45">
        <f t="shared" si="29"/>
        <v>194.25000000000003</v>
      </c>
      <c r="G91" s="45">
        <f t="shared" si="29"/>
        <v>3316.7</v>
      </c>
      <c r="H91" s="45">
        <f t="shared" si="29"/>
        <v>0</v>
      </c>
      <c r="I91" s="45">
        <f t="shared" si="29"/>
        <v>400.79999999999995</v>
      </c>
      <c r="J91" s="45">
        <f t="shared" si="29"/>
        <v>0</v>
      </c>
      <c r="K91" s="45">
        <f t="shared" si="29"/>
        <v>208.98900000000003</v>
      </c>
      <c r="L91" s="45">
        <f t="shared" si="29"/>
        <v>473.9409999999999</v>
      </c>
      <c r="M91" s="45">
        <f t="shared" si="29"/>
        <v>0</v>
      </c>
      <c r="N91" s="45">
        <f t="shared" si="29"/>
        <v>236.89000000000001</v>
      </c>
      <c r="O91" s="45">
        <f t="shared" si="29"/>
        <v>0</v>
      </c>
      <c r="P91" s="45">
        <f t="shared" si="29"/>
        <v>840.5</v>
      </c>
      <c r="Q91" s="45">
        <f t="shared" si="29"/>
        <v>601.725</v>
      </c>
      <c r="R91" s="45">
        <f t="shared" si="29"/>
        <v>0</v>
      </c>
      <c r="S91" s="45">
        <f t="shared" si="29"/>
        <v>1319.5</v>
      </c>
      <c r="T91" s="45">
        <f t="shared" si="29"/>
        <v>0</v>
      </c>
      <c r="U91" s="45">
        <f t="shared" si="29"/>
        <v>628.44</v>
      </c>
      <c r="V91" s="45">
        <f t="shared" si="29"/>
        <v>594.452</v>
      </c>
      <c r="W91" s="45">
        <f t="shared" si="29"/>
        <v>-3.685</v>
      </c>
      <c r="X91" s="45">
        <f t="shared" si="29"/>
        <v>0</v>
      </c>
      <c r="Y91" s="45">
        <f t="shared" si="29"/>
        <v>0</v>
      </c>
      <c r="Z91" s="45">
        <f t="shared" si="29"/>
        <v>0</v>
      </c>
      <c r="AA91" s="45">
        <f t="shared" si="29"/>
        <v>10628.303</v>
      </c>
      <c r="AB91" s="41">
        <f t="shared" si="22"/>
        <v>5616.160009999999</v>
      </c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">
      <c r="A92" s="5"/>
      <c r="B92" s="5"/>
      <c r="C92" s="60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">
      <c r="A93" s="5"/>
      <c r="B93" s="5" t="s">
        <v>65</v>
      </c>
      <c r="C93" s="62">
        <f aca="true" t="shared" si="30" ref="C93:AA93">C18-C84</f>
        <v>0</v>
      </c>
      <c r="D93" s="62">
        <f t="shared" si="30"/>
        <v>0</v>
      </c>
      <c r="E93" s="62">
        <f t="shared" si="30"/>
        <v>0</v>
      </c>
      <c r="F93" s="62">
        <f t="shared" si="30"/>
        <v>0</v>
      </c>
      <c r="G93" s="62">
        <f t="shared" si="30"/>
        <v>0</v>
      </c>
      <c r="H93" s="62">
        <f t="shared" si="30"/>
        <v>0</v>
      </c>
      <c r="I93" s="62">
        <f t="shared" si="30"/>
        <v>0</v>
      </c>
      <c r="J93" s="62">
        <f t="shared" si="30"/>
        <v>0</v>
      </c>
      <c r="K93" s="62">
        <f t="shared" si="30"/>
        <v>0</v>
      </c>
      <c r="L93" s="62">
        <f t="shared" si="30"/>
        <v>0</v>
      </c>
      <c r="M93" s="62">
        <f t="shared" si="30"/>
        <v>0</v>
      </c>
      <c r="N93" s="62">
        <f t="shared" si="30"/>
        <v>0</v>
      </c>
      <c r="O93" s="62">
        <f t="shared" si="30"/>
        <v>0</v>
      </c>
      <c r="P93" s="62">
        <f t="shared" si="30"/>
        <v>0</v>
      </c>
      <c r="Q93" s="62">
        <f t="shared" si="30"/>
        <v>0</v>
      </c>
      <c r="R93" s="62">
        <f t="shared" si="30"/>
        <v>0</v>
      </c>
      <c r="S93" s="62">
        <f t="shared" si="30"/>
        <v>0</v>
      </c>
      <c r="T93" s="62">
        <f t="shared" si="30"/>
        <v>0</v>
      </c>
      <c r="U93" s="62">
        <f t="shared" si="30"/>
        <v>0</v>
      </c>
      <c r="V93" s="62">
        <f t="shared" si="30"/>
        <v>0</v>
      </c>
      <c r="W93" s="62">
        <f t="shared" si="30"/>
        <v>0</v>
      </c>
      <c r="X93" s="62">
        <f t="shared" si="30"/>
        <v>0</v>
      </c>
      <c r="Y93" s="62">
        <f t="shared" si="30"/>
        <v>0</v>
      </c>
      <c r="Z93" s="62">
        <f t="shared" si="30"/>
        <v>0</v>
      </c>
      <c r="AA93" s="62">
        <f t="shared" si="30"/>
        <v>0</v>
      </c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5" spans="1:40" s="8" customFormat="1" ht="1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7"/>
      <c r="AC95" s="5"/>
      <c r="AG95" s="9"/>
      <c r="AH95" s="9"/>
      <c r="AI95" s="9"/>
      <c r="AJ95" s="9"/>
      <c r="AK95" s="9"/>
      <c r="AL95" s="9"/>
      <c r="AM95" s="9"/>
      <c r="AN95" s="9"/>
    </row>
    <row r="97" spans="1:40" s="8" customFormat="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7"/>
      <c r="AC97" s="64"/>
      <c r="AG97" s="9"/>
      <c r="AH97" s="9"/>
      <c r="AI97" s="9"/>
      <c r="AJ97" s="9"/>
      <c r="AK97" s="9"/>
      <c r="AL97" s="9"/>
      <c r="AM97" s="9"/>
      <c r="AN97" s="9"/>
    </row>
    <row r="176" ht="15">
      <c r="B176" s="7" t="s">
        <v>66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colBreaks count="1" manualBreakCount="1">
    <brk id="2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6"/>
  <sheetViews>
    <sheetView view="pageBreakPreview" zoomScale="55" zoomScaleNormal="40" zoomScaleSheetLayoutView="55" zoomScalePageLayoutView="0" workbookViewId="0" topLeftCell="B1">
      <pane xSplit="3156" ySplit="1656" topLeftCell="C65" activePane="bottomRight" state="split"/>
      <selection pane="topLeft" activeCell="AB83" sqref="AB83"/>
      <selection pane="topRight" activeCell="AB1" sqref="AB1:AH16384"/>
      <selection pane="bottomLeft" activeCell="B28" sqref="B28"/>
      <selection pane="bottomRight" activeCell="G165" sqref="G165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4" width="8.7109375" style="5" customWidth="1"/>
    <col min="25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7.25">
      <c r="B3" s="138" t="s">
        <v>79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">
      <c r="B4" s="5" t="s">
        <v>0</v>
      </c>
      <c r="AA4" s="6" t="s">
        <v>1</v>
      </c>
    </row>
    <row r="5" spans="2:27" ht="69">
      <c r="B5" s="10" t="s">
        <v>2</v>
      </c>
      <c r="C5" s="11" t="s">
        <v>3</v>
      </c>
      <c r="D5" s="12">
        <v>2</v>
      </c>
      <c r="E5" s="10">
        <v>3</v>
      </c>
      <c r="F5" s="10">
        <v>4</v>
      </c>
      <c r="G5" s="10">
        <v>5</v>
      </c>
      <c r="H5" s="10">
        <v>6</v>
      </c>
      <c r="I5" s="10">
        <v>9</v>
      </c>
      <c r="J5" s="13">
        <v>10</v>
      </c>
      <c r="K5" s="10">
        <v>11</v>
      </c>
      <c r="L5" s="10">
        <v>12</v>
      </c>
      <c r="M5" s="10">
        <v>13</v>
      </c>
      <c r="N5" s="10">
        <v>16</v>
      </c>
      <c r="O5" s="10">
        <v>17</v>
      </c>
      <c r="P5" s="10">
        <v>18</v>
      </c>
      <c r="Q5" s="10">
        <v>19</v>
      </c>
      <c r="R5" s="10">
        <v>20</v>
      </c>
      <c r="S5" s="10">
        <v>21</v>
      </c>
      <c r="T5" s="10">
        <v>23</v>
      </c>
      <c r="U5" s="10">
        <v>24</v>
      </c>
      <c r="V5" s="13">
        <v>26</v>
      </c>
      <c r="W5" s="10">
        <v>27</v>
      </c>
      <c r="X5" s="13">
        <v>28</v>
      </c>
      <c r="Y5" s="13"/>
      <c r="Z5" s="13"/>
      <c r="AA5" s="12" t="s">
        <v>4</v>
      </c>
    </row>
    <row r="6" spans="2:27" ht="27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">
      <c r="B7" s="20" t="s">
        <v>6</v>
      </c>
      <c r="C7" s="15">
        <f>SUM(D7:Y7)</f>
        <v>1768.1</v>
      </c>
      <c r="D7" s="21">
        <v>1768.1</v>
      </c>
      <c r="E7" s="17"/>
      <c r="F7" s="17"/>
      <c r="G7" s="17"/>
      <c r="H7" s="17"/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">
      <c r="B8" s="23" t="s">
        <v>8</v>
      </c>
      <c r="C8" s="24">
        <f aca="true" t="shared" si="0" ref="C8:C16">SUM(D8:Z8)</f>
        <v>262.4</v>
      </c>
      <c r="D8" s="25">
        <f aca="true" t="shared" si="1" ref="D8:Y8">SUM(D9:D16)</f>
        <v>262.4</v>
      </c>
      <c r="E8" s="25">
        <f t="shared" si="1"/>
        <v>0</v>
      </c>
      <c r="F8" s="25">
        <f t="shared" si="1"/>
        <v>0</v>
      </c>
      <c r="G8" s="25">
        <f t="shared" si="1"/>
        <v>0</v>
      </c>
      <c r="H8" s="25">
        <f t="shared" si="1"/>
        <v>0</v>
      </c>
      <c r="I8" s="25">
        <f>SUM(I9:I16)</f>
        <v>0</v>
      </c>
      <c r="J8" s="25">
        <f t="shared" si="1"/>
        <v>0</v>
      </c>
      <c r="K8" s="25">
        <f>SUM(K9:K16)</f>
        <v>0</v>
      </c>
      <c r="L8" s="25">
        <f t="shared" si="1"/>
        <v>0</v>
      </c>
      <c r="M8" s="25">
        <f t="shared" si="1"/>
        <v>0</v>
      </c>
      <c r="N8" s="25">
        <f t="shared" si="1"/>
        <v>0</v>
      </c>
      <c r="O8" s="25">
        <f t="shared" si="1"/>
        <v>0</v>
      </c>
      <c r="P8" s="25">
        <f t="shared" si="1"/>
        <v>0</v>
      </c>
      <c r="Q8" s="25">
        <f t="shared" si="1"/>
        <v>0</v>
      </c>
      <c r="R8" s="25">
        <f t="shared" si="1"/>
        <v>0</v>
      </c>
      <c r="S8" s="25">
        <f>SUM(S9:S16)</f>
        <v>0</v>
      </c>
      <c r="T8" s="25">
        <f>SUM(T9:T16)</f>
        <v>0</v>
      </c>
      <c r="U8" s="25">
        <f t="shared" si="1"/>
        <v>0</v>
      </c>
      <c r="V8" s="25">
        <f t="shared" si="1"/>
        <v>0</v>
      </c>
      <c r="W8" s="25">
        <f t="shared" si="1"/>
        <v>0</v>
      </c>
      <c r="X8" s="25">
        <f t="shared" si="1"/>
        <v>0</v>
      </c>
      <c r="Y8" s="25">
        <f t="shared" si="1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">
      <c r="B9" s="27" t="s">
        <v>9</v>
      </c>
      <c r="C9" s="28">
        <f t="shared" si="0"/>
        <v>85</v>
      </c>
      <c r="D9" s="29">
        <v>85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30"/>
      <c r="S9" s="30"/>
      <c r="T9" s="22"/>
      <c r="U9" s="30"/>
      <c r="V9" s="22"/>
      <c r="W9" s="22"/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t="shared" si="0"/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30" customHeight="1">
      <c r="B11" s="27" t="s">
        <v>11</v>
      </c>
      <c r="C11" s="28">
        <f t="shared" si="0"/>
        <v>27</v>
      </c>
      <c r="D11" s="29">
        <v>27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30"/>
      <c r="S11" s="30"/>
      <c r="T11" s="22"/>
      <c r="U11" s="30"/>
      <c r="V11" s="22"/>
      <c r="W11" s="22"/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">
      <c r="B12" s="27" t="s">
        <v>12</v>
      </c>
      <c r="C12" s="28">
        <f t="shared" si="0"/>
        <v>7.3</v>
      </c>
      <c r="D12" s="29">
        <v>7.3</v>
      </c>
      <c r="E12" s="22"/>
      <c r="F12" s="22"/>
      <c r="G12" s="22"/>
      <c r="H12" s="22"/>
      <c r="I12" s="22"/>
      <c r="J12" s="34"/>
      <c r="K12" s="22"/>
      <c r="L12" s="22"/>
      <c r="M12" s="22"/>
      <c r="N12" s="22"/>
      <c r="O12" s="22"/>
      <c r="P12" s="22"/>
      <c r="Q12" s="22"/>
      <c r="R12" s="30"/>
      <c r="S12" s="30"/>
      <c r="T12" s="22"/>
      <c r="U12" s="30"/>
      <c r="V12" s="22"/>
      <c r="W12" s="22"/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">
      <c r="B13" s="27" t="s">
        <v>13</v>
      </c>
      <c r="C13" s="28">
        <f t="shared" si="0"/>
        <v>3.1</v>
      </c>
      <c r="D13" s="29">
        <v>3.1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30"/>
      <c r="S13" s="30"/>
      <c r="T13" s="22"/>
      <c r="U13" s="22"/>
      <c r="V13" s="22"/>
      <c r="W13" s="22"/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">
      <c r="B14" s="27" t="s">
        <v>14</v>
      </c>
      <c r="C14" s="28">
        <f t="shared" si="0"/>
        <v>90</v>
      </c>
      <c r="D14" s="29">
        <v>90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30"/>
      <c r="S14" s="30"/>
      <c r="T14" s="22"/>
      <c r="U14" s="30"/>
      <c r="V14" s="22"/>
      <c r="W14" s="22"/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0"/>
        <v>10</v>
      </c>
      <c r="D15" s="29">
        <v>10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30"/>
      <c r="S15" s="30"/>
      <c r="T15" s="22"/>
      <c r="U15" s="30"/>
      <c r="V15" s="22"/>
      <c r="W15" s="22"/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30" customHeight="1">
      <c r="B16" s="27" t="s">
        <v>16</v>
      </c>
      <c r="C16" s="28">
        <f t="shared" si="0"/>
        <v>40</v>
      </c>
      <c r="D16" s="29">
        <v>40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30"/>
      <c r="S16" s="30"/>
      <c r="T16" s="22"/>
      <c r="U16" s="30"/>
      <c r="V16" s="22"/>
      <c r="W16" s="22"/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2030.5</v>
      </c>
      <c r="D17" s="38">
        <f>SUM(D6:D8)</f>
        <v>2030.5</v>
      </c>
      <c r="E17" s="38">
        <f aca="true" t="shared" si="2" ref="E17:Y17">SUM(E6:E8)</f>
        <v>0</v>
      </c>
      <c r="F17" s="38">
        <f t="shared" si="2"/>
        <v>0</v>
      </c>
      <c r="G17" s="38">
        <f t="shared" si="2"/>
        <v>0</v>
      </c>
      <c r="H17" s="38">
        <f t="shared" si="2"/>
        <v>0</v>
      </c>
      <c r="I17" s="38">
        <f t="shared" si="2"/>
        <v>0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>SUM(M6:M8)</f>
        <v>0</v>
      </c>
      <c r="N17" s="38">
        <f t="shared" si="2"/>
        <v>0</v>
      </c>
      <c r="O17" s="38">
        <f t="shared" si="2"/>
        <v>0</v>
      </c>
      <c r="P17" s="38">
        <f t="shared" si="2"/>
        <v>0</v>
      </c>
      <c r="Q17" s="38">
        <f t="shared" si="2"/>
        <v>0</v>
      </c>
      <c r="R17" s="38">
        <f t="shared" si="2"/>
        <v>0</v>
      </c>
      <c r="S17" s="38">
        <f>SUM(S6:S8)</f>
        <v>0</v>
      </c>
      <c r="T17" s="38">
        <f>SUM(T6:T8)</f>
        <v>0</v>
      </c>
      <c r="U17" s="38">
        <f t="shared" si="2"/>
        <v>0</v>
      </c>
      <c r="V17" s="38">
        <f t="shared" si="2"/>
        <v>0</v>
      </c>
      <c r="W17" s="38">
        <f t="shared" si="2"/>
        <v>0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">
      <c r="B18" s="39" t="s">
        <v>18</v>
      </c>
      <c r="C18" s="40">
        <f>C19+C23+C29+C32+C33+C35+C36+C42+C46+C50+C53+C58+C66+C73+C78+C79+C83+C31+C69+C77+C75+C76+C80+C81+C82+C72+C34+C64</f>
        <v>29655.87767</v>
      </c>
      <c r="D18" s="40">
        <f aca="true" t="shared" si="3" ref="D18:AA18">D19+D23+D29+D32+D33+D35+D36+D42+D46+D50+D53+D58+D66+D73+D78+D79+D83+D31+D69+D77+D75+D76+D80+D81+D82+D72+D34+D64</f>
        <v>0</v>
      </c>
      <c r="E18" s="40">
        <f t="shared" si="3"/>
        <v>168.292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0</v>
      </c>
      <c r="R18" s="40">
        <f t="shared" si="3"/>
        <v>0</v>
      </c>
      <c r="S18" s="40">
        <f t="shared" si="3"/>
        <v>0</v>
      </c>
      <c r="T18" s="40">
        <f t="shared" si="3"/>
        <v>0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168.292</v>
      </c>
      <c r="AB18" s="41">
        <f aca="true" t="shared" si="4" ref="AB18:AB83">AA18-C18</f>
        <v>-29487.58567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">
      <c r="A19" s="1">
        <v>10116</v>
      </c>
      <c r="B19" s="42" t="s">
        <v>19</v>
      </c>
      <c r="C19" s="43">
        <f aca="true" t="shared" si="5" ref="C19:AA19">SUM(C20:C22)</f>
        <v>5114.262</v>
      </c>
      <c r="D19" s="43">
        <f t="shared" si="5"/>
        <v>0</v>
      </c>
      <c r="E19" s="43">
        <f t="shared" si="5"/>
        <v>46.432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>SUM(T20:T22)</f>
        <v>0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46.432</v>
      </c>
      <c r="AB19" s="41">
        <f t="shared" si="4"/>
        <v>-5067.83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">
      <c r="B20" s="44" t="s">
        <v>20</v>
      </c>
      <c r="C20" s="45">
        <v>3721.361</v>
      </c>
      <c r="D20" s="17"/>
      <c r="E20" s="17"/>
      <c r="F20" s="17"/>
      <c r="G20" s="17"/>
      <c r="H20" s="17"/>
      <c r="I20" s="22"/>
      <c r="J20" s="22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2"/>
      <c r="W20" s="22"/>
      <c r="X20" s="22"/>
      <c r="Y20" s="17"/>
      <c r="Z20" s="17"/>
      <c r="AA20" s="17">
        <f>SUM(D20:Z20)</f>
        <v>0</v>
      </c>
      <c r="AB20" s="41">
        <f t="shared" si="4"/>
        <v>-3721.361</v>
      </c>
      <c r="AC20" s="7"/>
      <c r="AD20" s="134" t="s">
        <v>21</v>
      </c>
      <c r="AE20" s="135">
        <f>AA19</f>
        <v>46.432</v>
      </c>
      <c r="AG20" s="8"/>
    </row>
    <row r="21" spans="2:33" ht="15">
      <c r="B21" s="44" t="s">
        <v>22</v>
      </c>
      <c r="C21" s="45">
        <v>424.01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2"/>
      <c r="W21" s="22"/>
      <c r="X21" s="22"/>
      <c r="Y21" s="17"/>
      <c r="Z21" s="17"/>
      <c r="AA21" s="17">
        <f>SUM(D21:Z21)</f>
        <v>0</v>
      </c>
      <c r="AB21" s="41">
        <f t="shared" si="4"/>
        <v>-424.01</v>
      </c>
      <c r="AC21" s="7"/>
      <c r="AD21" s="134" t="s">
        <v>23</v>
      </c>
      <c r="AE21" s="135">
        <f>AA23</f>
        <v>45.04</v>
      </c>
      <c r="AG21" s="8"/>
    </row>
    <row r="22" spans="2:33" ht="15">
      <c r="B22" s="44" t="s">
        <v>24</v>
      </c>
      <c r="C22" s="45">
        <v>968.891</v>
      </c>
      <c r="D22" s="17"/>
      <c r="E22" s="17">
        <v>46.432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>
        <f>SUM(D22:Z22)</f>
        <v>46.432</v>
      </c>
      <c r="AB22" s="41">
        <f t="shared" si="4"/>
        <v>-922.459</v>
      </c>
      <c r="AC22" s="7"/>
      <c r="AD22" s="134" t="s">
        <v>25</v>
      </c>
      <c r="AE22" s="135">
        <f>$AA$29+$AA$31</f>
        <v>0</v>
      </c>
      <c r="AG22" s="8"/>
    </row>
    <row r="23" spans="1:40" s="1" customFormat="1" ht="15">
      <c r="A23" s="1">
        <v>7000</v>
      </c>
      <c r="B23" s="42" t="s">
        <v>26</v>
      </c>
      <c r="C23" s="43">
        <f aca="true" t="shared" si="6" ref="C23:AA23">SUM(C24:C28)</f>
        <v>14904.811</v>
      </c>
      <c r="D23" s="43">
        <f t="shared" si="6"/>
        <v>0</v>
      </c>
      <c r="E23" s="43">
        <f>SUM(E24:E28)</f>
        <v>45.04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>SUM(Q24:Q28)</f>
        <v>0</v>
      </c>
      <c r="R23" s="43">
        <f t="shared" si="6"/>
        <v>0</v>
      </c>
      <c r="S23" s="43">
        <f t="shared" si="6"/>
        <v>0</v>
      </c>
      <c r="T23" s="43">
        <f>SUM(T24:T28)</f>
        <v>0</v>
      </c>
      <c r="U23" s="43">
        <f>SUM(U24:U28)</f>
        <v>0</v>
      </c>
      <c r="V23" s="43">
        <f t="shared" si="6"/>
        <v>0</v>
      </c>
      <c r="W23" s="43">
        <f t="shared" si="6"/>
        <v>0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45.04</v>
      </c>
      <c r="AB23" s="41">
        <f t="shared" si="4"/>
        <v>-14859.770999999999</v>
      </c>
      <c r="AC23" s="2"/>
      <c r="AD23" s="134" t="s">
        <v>27</v>
      </c>
      <c r="AE23" s="135">
        <f>$AA$32+$AA$33+$AA$36+$AA$42+$AA$46+$AA$35+$AA$34</f>
        <v>0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">
      <c r="B24" s="44" t="s">
        <v>20</v>
      </c>
      <c r="C24" s="45">
        <v>9624.544</v>
      </c>
      <c r="D24" s="17"/>
      <c r="E24" s="17"/>
      <c r="F24" s="17"/>
      <c r="G24" s="17"/>
      <c r="H24" s="17"/>
      <c r="I24" s="17"/>
      <c r="J24" s="22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2"/>
      <c r="W24" s="22"/>
      <c r="X24" s="22"/>
      <c r="Y24" s="17"/>
      <c r="Z24" s="17"/>
      <c r="AA24" s="17">
        <f>SUM(D24:Z24)</f>
        <v>0</v>
      </c>
      <c r="AB24" s="41">
        <f t="shared" si="4"/>
        <v>-9624.544</v>
      </c>
      <c r="AC24" s="7"/>
      <c r="AD24" s="134" t="s">
        <v>28</v>
      </c>
      <c r="AE24" s="135">
        <f>$AA$66+$AA$69+$AA$76+$AA$64</f>
        <v>0</v>
      </c>
      <c r="AG24" s="8"/>
    </row>
    <row r="25" spans="2:33" ht="15">
      <c r="B25" s="44" t="s">
        <v>29</v>
      </c>
      <c r="C25" s="45">
        <v>1.926</v>
      </c>
      <c r="D25" s="17"/>
      <c r="E25" s="17">
        <v>0.5</v>
      </c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0.5</v>
      </c>
      <c r="AB25" s="41">
        <f t="shared" si="4"/>
        <v>-1.426</v>
      </c>
      <c r="AC25" s="7"/>
      <c r="AD25" s="134" t="s">
        <v>30</v>
      </c>
      <c r="AE25" s="135">
        <f>$AA$53</f>
        <v>0</v>
      </c>
      <c r="AG25" s="8"/>
    </row>
    <row r="26" spans="2:33" ht="15">
      <c r="B26" s="44" t="s">
        <v>31</v>
      </c>
      <c r="C26" s="45">
        <v>662.305</v>
      </c>
      <c r="D26" s="17"/>
      <c r="E26" s="17">
        <v>22.103</v>
      </c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2"/>
      <c r="W26" s="22"/>
      <c r="X26" s="22"/>
      <c r="Y26" s="17"/>
      <c r="Z26" s="17"/>
      <c r="AA26" s="17">
        <f>SUM(D26:Z26)</f>
        <v>22.103</v>
      </c>
      <c r="AB26" s="41">
        <f t="shared" si="4"/>
        <v>-640.202</v>
      </c>
      <c r="AC26" s="7"/>
      <c r="AD26" s="134" t="s">
        <v>32</v>
      </c>
      <c r="AE26" s="135">
        <f>$AA$58</f>
        <v>0</v>
      </c>
      <c r="AG26" s="8"/>
    </row>
    <row r="27" spans="2:33" ht="15">
      <c r="B27" s="44" t="s">
        <v>22</v>
      </c>
      <c r="C27" s="45">
        <v>3633.248</v>
      </c>
      <c r="D27" s="17"/>
      <c r="E27" s="17">
        <v>11.212</v>
      </c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2"/>
      <c r="W27" s="22"/>
      <c r="X27" s="22"/>
      <c r="Y27" s="17"/>
      <c r="Z27" s="17"/>
      <c r="AA27" s="17">
        <f>SUM(D27:Z27)</f>
        <v>11.212</v>
      </c>
      <c r="AB27" s="41">
        <f t="shared" si="4"/>
        <v>-3622.036</v>
      </c>
      <c r="AC27" s="7"/>
      <c r="AD27" s="134" t="s">
        <v>33</v>
      </c>
      <c r="AE27" s="135">
        <f>$AA$50+$AA$73+$AA$78+$AA$79+$AA$83+$AA$75+$AA$77+$AA$80+$AA$81+$AA$82</f>
        <v>76.82</v>
      </c>
      <c r="AG27" s="8"/>
    </row>
    <row r="28" spans="2:33" ht="15">
      <c r="B28" s="44" t="s">
        <v>24</v>
      </c>
      <c r="C28" s="45">
        <v>982.788</v>
      </c>
      <c r="D28" s="17"/>
      <c r="E28" s="17">
        <v>11.225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f>SUM(D28:Z28)</f>
        <v>11.225</v>
      </c>
      <c r="AB28" s="41">
        <f t="shared" si="4"/>
        <v>-971.563</v>
      </c>
      <c r="AC28" s="7"/>
      <c r="AD28" s="9"/>
      <c r="AE28" s="46"/>
      <c r="AG28" s="8"/>
    </row>
    <row r="29" spans="2:33" ht="27.75">
      <c r="B29" s="42" t="s">
        <v>34</v>
      </c>
      <c r="C29" s="43">
        <f>C30</f>
        <v>444.661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0</v>
      </c>
      <c r="AB29" s="41">
        <f t="shared" si="4"/>
        <v>-444.661</v>
      </c>
      <c r="AC29" s="7"/>
      <c r="AD29" s="9"/>
      <c r="AE29" s="46"/>
      <c r="AG29" s="8"/>
    </row>
    <row r="30" spans="2:31" ht="15">
      <c r="B30" s="47" t="s">
        <v>35</v>
      </c>
      <c r="C30" s="34">
        <v>444.661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34"/>
      <c r="Z30" s="34"/>
      <c r="AA30" s="17">
        <f aca="true" t="shared" si="8" ref="AA30:AA35">SUM(D30:Z30)</f>
        <v>0</v>
      </c>
      <c r="AB30" s="41">
        <f t="shared" si="4"/>
        <v>-444.661</v>
      </c>
      <c r="AE30" s="48"/>
    </row>
    <row r="31" spans="2:31" ht="42" hidden="1">
      <c r="B31" s="42" t="s">
        <v>36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7.75">
      <c r="A32" s="1" t="s">
        <v>37</v>
      </c>
      <c r="B32" s="42" t="s">
        <v>38</v>
      </c>
      <c r="C32" s="43">
        <v>300.919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0</v>
      </c>
      <c r="AB32" s="41">
        <f t="shared" si="4"/>
        <v>-300.919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2">
      <c r="B33" s="42" t="s">
        <v>39</v>
      </c>
      <c r="C33" s="43">
        <v>166.733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0</v>
      </c>
      <c r="AB33" s="41">
        <f t="shared" si="4"/>
        <v>-166.733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2">
      <c r="B34" s="42" t="s">
        <v>40</v>
      </c>
      <c r="C34" s="43">
        <v>0.00045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-0.00045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42">
      <c r="B35" s="42" t="s">
        <v>41</v>
      </c>
      <c r="C35" s="43">
        <v>0.00029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-0.00029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">
      <c r="B36" s="42" t="s">
        <v>42</v>
      </c>
      <c r="C36" s="43">
        <f>SUM(C37:C41)</f>
        <v>675.874</v>
      </c>
      <c r="D36" s="43">
        <f>SUM(D37:D41)</f>
        <v>0</v>
      </c>
      <c r="E36" s="43">
        <f>SUM(E37:E41)</f>
        <v>0</v>
      </c>
      <c r="F36" s="43">
        <f>SUM(F37:F41)</f>
        <v>0</v>
      </c>
      <c r="G36" s="43">
        <f aca="true" t="shared" si="9" ref="G36:S36">SUM(G37:G41)</f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>SUM(T37:T41)</f>
        <v>0</v>
      </c>
      <c r="U36" s="43">
        <f>SUM(U37:U41)</f>
        <v>0</v>
      </c>
      <c r="V36" s="43">
        <f aca="true" t="shared" si="10" ref="V36:AA36">SUM(V37:V41)</f>
        <v>0</v>
      </c>
      <c r="W36" s="43">
        <f t="shared" si="10"/>
        <v>0</v>
      </c>
      <c r="X36" s="43">
        <f t="shared" si="10"/>
        <v>0</v>
      </c>
      <c r="Y36" s="43">
        <f t="shared" si="10"/>
        <v>0</v>
      </c>
      <c r="Z36" s="43">
        <f>SUM(Z37:Z41)</f>
        <v>0</v>
      </c>
      <c r="AA36" s="43">
        <f t="shared" si="10"/>
        <v>0</v>
      </c>
      <c r="AB36" s="41">
        <f t="shared" si="4"/>
        <v>-675.874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">
      <c r="B37" s="44" t="s">
        <v>20</v>
      </c>
      <c r="C37" s="45">
        <v>574.441</v>
      </c>
      <c r="D37" s="17"/>
      <c r="E37" s="17"/>
      <c r="F37" s="17"/>
      <c r="G37" s="17"/>
      <c r="H37" s="17"/>
      <c r="I37" s="17"/>
      <c r="J37" s="22"/>
      <c r="K37" s="17"/>
      <c r="L37" s="17"/>
      <c r="M37" s="17"/>
      <c r="N37" s="17"/>
      <c r="O37" s="17"/>
      <c r="P37" s="50"/>
      <c r="Q37" s="17"/>
      <c r="R37" s="50"/>
      <c r="S37" s="17"/>
      <c r="T37" s="17"/>
      <c r="U37" s="17"/>
      <c r="V37" s="22"/>
      <c r="W37" s="22"/>
      <c r="X37" s="17"/>
      <c r="Y37" s="17"/>
      <c r="Z37" s="17"/>
      <c r="AA37" s="17">
        <f>SUM(D37:Z37)</f>
        <v>0</v>
      </c>
      <c r="AB37" s="41">
        <f t="shared" si="4"/>
        <v>-574.441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">
      <c r="B38" s="44" t="s">
        <v>29</v>
      </c>
      <c r="C38" s="45">
        <v>1.012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-1.012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">
      <c r="B39" s="44" t="s">
        <v>31</v>
      </c>
      <c r="C39" s="45">
        <v>0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/>
      <c r="S39" s="17"/>
      <c r="T39" s="17"/>
      <c r="U39" s="17"/>
      <c r="V39" s="22"/>
      <c r="W39" s="22"/>
      <c r="X39" s="17"/>
      <c r="Y39" s="17"/>
      <c r="Z39" s="17"/>
      <c r="AA39" s="17">
        <f>SUM(D39:Z39)</f>
        <v>0</v>
      </c>
      <c r="AB39" s="41">
        <f t="shared" si="4"/>
        <v>0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">
      <c r="B40" s="44" t="s">
        <v>22</v>
      </c>
      <c r="C40" s="45">
        <v>59.056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50"/>
      <c r="Q40" s="17"/>
      <c r="R40" s="50"/>
      <c r="S40" s="17"/>
      <c r="T40" s="17"/>
      <c r="U40" s="17"/>
      <c r="V40" s="22"/>
      <c r="W40" s="22"/>
      <c r="X40" s="17"/>
      <c r="Y40" s="17"/>
      <c r="Z40" s="17"/>
      <c r="AA40" s="17">
        <f>SUM(D40:Z40)</f>
        <v>0</v>
      </c>
      <c r="AB40" s="41">
        <f t="shared" si="4"/>
        <v>-59.056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">
      <c r="B41" s="44" t="s">
        <v>24</v>
      </c>
      <c r="C41" s="45">
        <v>41.365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>
        <f>SUM(D41:Z41)</f>
        <v>0</v>
      </c>
      <c r="AB41" s="41">
        <f t="shared" si="4"/>
        <v>-41.365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">
      <c r="B42" s="42" t="s">
        <v>43</v>
      </c>
      <c r="C42" s="43">
        <f aca="true" t="shared" si="11" ref="C42:S42">SUM(C43:C45)</f>
        <v>179.59099999999998</v>
      </c>
      <c r="D42" s="43">
        <f t="shared" si="11"/>
        <v>0</v>
      </c>
      <c r="E42" s="43">
        <f t="shared" si="11"/>
        <v>0</v>
      </c>
      <c r="F42" s="43">
        <f t="shared" si="11"/>
        <v>0</v>
      </c>
      <c r="G42" s="43">
        <f t="shared" si="11"/>
        <v>0</v>
      </c>
      <c r="H42" s="43">
        <f t="shared" si="11"/>
        <v>0</v>
      </c>
      <c r="I42" s="43">
        <f t="shared" si="11"/>
        <v>0</v>
      </c>
      <c r="J42" s="43">
        <f t="shared" si="11"/>
        <v>0</v>
      </c>
      <c r="K42" s="43">
        <f t="shared" si="11"/>
        <v>0</v>
      </c>
      <c r="L42" s="43">
        <f t="shared" si="11"/>
        <v>0</v>
      </c>
      <c r="M42" s="43">
        <f t="shared" si="11"/>
        <v>0</v>
      </c>
      <c r="N42" s="43">
        <f t="shared" si="11"/>
        <v>0</v>
      </c>
      <c r="O42" s="43">
        <f t="shared" si="11"/>
        <v>0</v>
      </c>
      <c r="P42" s="43">
        <f t="shared" si="11"/>
        <v>0</v>
      </c>
      <c r="Q42" s="43">
        <f t="shared" si="11"/>
        <v>0</v>
      </c>
      <c r="R42" s="43">
        <f t="shared" si="11"/>
        <v>0</v>
      </c>
      <c r="S42" s="43">
        <f t="shared" si="11"/>
        <v>0</v>
      </c>
      <c r="T42" s="43">
        <f>SUM(T43:T45)</f>
        <v>0</v>
      </c>
      <c r="U42" s="43">
        <f>SUM(U43:U45)</f>
        <v>0</v>
      </c>
      <c r="V42" s="43">
        <f aca="true" t="shared" si="12" ref="V42:AA42">SUM(V43:V45)</f>
        <v>0</v>
      </c>
      <c r="W42" s="43">
        <f t="shared" si="12"/>
        <v>0</v>
      </c>
      <c r="X42" s="43">
        <f t="shared" si="12"/>
        <v>0</v>
      </c>
      <c r="Y42" s="43">
        <f t="shared" si="12"/>
        <v>0</v>
      </c>
      <c r="Z42" s="43">
        <f>SUM(Z43:Z45)</f>
        <v>0</v>
      </c>
      <c r="AA42" s="43">
        <f t="shared" si="12"/>
        <v>0</v>
      </c>
      <c r="AB42" s="41">
        <f t="shared" si="4"/>
        <v>-179.59099999999998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">
      <c r="B43" s="44" t="s">
        <v>20</v>
      </c>
      <c r="C43" s="45">
        <v>140.396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/>
      <c r="P43" s="50"/>
      <c r="Q43" s="17"/>
      <c r="R43" s="50"/>
      <c r="S43" s="17"/>
      <c r="T43" s="17"/>
      <c r="U43" s="17"/>
      <c r="V43" s="22"/>
      <c r="W43" s="22"/>
      <c r="X43" s="17"/>
      <c r="Y43" s="17"/>
      <c r="Z43" s="17"/>
      <c r="AA43" s="17">
        <f>SUM(D43:Z43)</f>
        <v>0</v>
      </c>
      <c r="AB43" s="41">
        <f t="shared" si="4"/>
        <v>-140.396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">
      <c r="B44" s="44" t="s">
        <v>22</v>
      </c>
      <c r="C44" s="45">
        <v>32.495</v>
      </c>
      <c r="D44" s="17"/>
      <c r="E44" s="17"/>
      <c r="F44" s="17"/>
      <c r="G44" s="17"/>
      <c r="H44" s="17"/>
      <c r="I44" s="17"/>
      <c r="J44" s="22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2"/>
      <c r="W44" s="22"/>
      <c r="X44" s="17"/>
      <c r="Y44" s="17"/>
      <c r="Z44" s="17"/>
      <c r="AA44" s="17">
        <f>SUM(D44:Z44)</f>
        <v>0</v>
      </c>
      <c r="AB44" s="41">
        <f t="shared" si="4"/>
        <v>-32.495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">
      <c r="B45" s="44" t="s">
        <v>24</v>
      </c>
      <c r="C45" s="45">
        <v>6.7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>
        <f>SUM(D45:Z45)</f>
        <v>0</v>
      </c>
      <c r="AB45" s="41">
        <f t="shared" si="4"/>
        <v>-6.7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">
      <c r="B46" s="42" t="s">
        <v>44</v>
      </c>
      <c r="C46" s="43">
        <f aca="true" t="shared" si="13" ref="C46:Y46">SUM(C47:C49)</f>
        <v>115.799</v>
      </c>
      <c r="D46" s="43">
        <f t="shared" si="13"/>
        <v>0</v>
      </c>
      <c r="E46" s="43">
        <f t="shared" si="13"/>
        <v>0</v>
      </c>
      <c r="F46" s="43">
        <f t="shared" si="13"/>
        <v>0</v>
      </c>
      <c r="G46" s="43">
        <f t="shared" si="13"/>
        <v>0</v>
      </c>
      <c r="H46" s="43">
        <f t="shared" si="13"/>
        <v>0</v>
      </c>
      <c r="I46" s="43">
        <f t="shared" si="13"/>
        <v>0</v>
      </c>
      <c r="J46" s="43">
        <f t="shared" si="13"/>
        <v>0</v>
      </c>
      <c r="K46" s="43">
        <f t="shared" si="13"/>
        <v>0</v>
      </c>
      <c r="L46" s="43">
        <f t="shared" si="13"/>
        <v>0</v>
      </c>
      <c r="M46" s="43">
        <f t="shared" si="13"/>
        <v>0</v>
      </c>
      <c r="N46" s="43">
        <f t="shared" si="13"/>
        <v>0</v>
      </c>
      <c r="O46" s="43">
        <f t="shared" si="13"/>
        <v>0</v>
      </c>
      <c r="P46" s="43">
        <f t="shared" si="13"/>
        <v>0</v>
      </c>
      <c r="Q46" s="43">
        <f t="shared" si="13"/>
        <v>0</v>
      </c>
      <c r="R46" s="43">
        <f t="shared" si="13"/>
        <v>0</v>
      </c>
      <c r="S46" s="43">
        <f t="shared" si="13"/>
        <v>0</v>
      </c>
      <c r="T46" s="43">
        <f>SUM(T47:T49)</f>
        <v>0</v>
      </c>
      <c r="U46" s="43">
        <f t="shared" si="13"/>
        <v>0</v>
      </c>
      <c r="V46" s="43">
        <f t="shared" si="13"/>
        <v>0</v>
      </c>
      <c r="W46" s="43">
        <f t="shared" si="13"/>
        <v>0</v>
      </c>
      <c r="X46" s="43">
        <f t="shared" si="13"/>
        <v>0</v>
      </c>
      <c r="Y46" s="43">
        <f t="shared" si="13"/>
        <v>0</v>
      </c>
      <c r="Z46" s="43">
        <f>SUM(Z47:Z49)</f>
        <v>0</v>
      </c>
      <c r="AA46" s="43">
        <f>SUM(D46:Y46)</f>
        <v>0</v>
      </c>
      <c r="AB46" s="41">
        <f t="shared" si="4"/>
        <v>-115.799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">
      <c r="B47" s="44" t="s">
        <v>20</v>
      </c>
      <c r="C47" s="45">
        <v>85.617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2"/>
      <c r="W47" s="22"/>
      <c r="X47" s="22"/>
      <c r="Y47" s="22"/>
      <c r="Z47" s="22"/>
      <c r="AA47" s="17">
        <f>SUM(D47:Z47)</f>
        <v>0</v>
      </c>
      <c r="AB47" s="41">
        <f t="shared" si="4"/>
        <v>-85.617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">
      <c r="B48" s="44" t="s">
        <v>22</v>
      </c>
      <c r="C48" s="45">
        <v>14.601</v>
      </c>
      <c r="D48" s="17"/>
      <c r="E48" s="17"/>
      <c r="F48" s="17"/>
      <c r="G48" s="17"/>
      <c r="H48" s="17"/>
      <c r="I48" s="17"/>
      <c r="J48" s="22"/>
      <c r="K48" s="17"/>
      <c r="L48" s="17"/>
      <c r="M48" s="17"/>
      <c r="N48" s="17"/>
      <c r="O48" s="17"/>
      <c r="P48" s="50"/>
      <c r="Q48" s="17"/>
      <c r="R48" s="50"/>
      <c r="S48" s="17"/>
      <c r="T48" s="17"/>
      <c r="U48" s="17"/>
      <c r="V48" s="22"/>
      <c r="W48" s="17"/>
      <c r="X48" s="22"/>
      <c r="Y48" s="22"/>
      <c r="Z48" s="22"/>
      <c r="AA48" s="17">
        <f>SUM(D48:Z48)</f>
        <v>0</v>
      </c>
      <c r="AB48" s="41">
        <f t="shared" si="4"/>
        <v>-14.601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2:40" s="1" customFormat="1" ht="15">
      <c r="B49" s="44" t="s">
        <v>24</v>
      </c>
      <c r="C49" s="45">
        <v>15.581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>
        <f>SUM(D49:Z49)</f>
        <v>0</v>
      </c>
      <c r="AB49" s="41">
        <f t="shared" si="4"/>
        <v>-15.581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1:40" s="1" customFormat="1" ht="15">
      <c r="A50" s="1">
        <v>90501</v>
      </c>
      <c r="B50" s="42" t="s">
        <v>45</v>
      </c>
      <c r="C50" s="43">
        <f>C51+C52</f>
        <v>55.739000000000004</v>
      </c>
      <c r="D50" s="43">
        <f aca="true" t="shared" si="14" ref="D50:Y50">D51+D52</f>
        <v>0</v>
      </c>
      <c r="E50" s="43">
        <f t="shared" si="14"/>
        <v>8.023</v>
      </c>
      <c r="F50" s="43">
        <f t="shared" si="14"/>
        <v>0</v>
      </c>
      <c r="G50" s="43">
        <f t="shared" si="14"/>
        <v>0</v>
      </c>
      <c r="H50" s="43">
        <f t="shared" si="14"/>
        <v>0</v>
      </c>
      <c r="I50" s="43">
        <f t="shared" si="14"/>
        <v>0</v>
      </c>
      <c r="J50" s="43">
        <f t="shared" si="14"/>
        <v>0</v>
      </c>
      <c r="K50" s="43">
        <f t="shared" si="14"/>
        <v>0</v>
      </c>
      <c r="L50" s="43">
        <f t="shared" si="14"/>
        <v>0</v>
      </c>
      <c r="M50" s="43">
        <f t="shared" si="14"/>
        <v>0</v>
      </c>
      <c r="N50" s="43">
        <f t="shared" si="14"/>
        <v>0</v>
      </c>
      <c r="O50" s="43">
        <f t="shared" si="14"/>
        <v>0</v>
      </c>
      <c r="P50" s="43">
        <f t="shared" si="14"/>
        <v>0</v>
      </c>
      <c r="Q50" s="43">
        <f t="shared" si="14"/>
        <v>0</v>
      </c>
      <c r="R50" s="43">
        <f t="shared" si="14"/>
        <v>0</v>
      </c>
      <c r="S50" s="43">
        <f t="shared" si="14"/>
        <v>0</v>
      </c>
      <c r="T50" s="43">
        <f>T51+T52</f>
        <v>0</v>
      </c>
      <c r="U50" s="43">
        <f>U51+U52</f>
        <v>0</v>
      </c>
      <c r="V50" s="43">
        <f t="shared" si="14"/>
        <v>0</v>
      </c>
      <c r="W50" s="43">
        <f t="shared" si="14"/>
        <v>0</v>
      </c>
      <c r="X50" s="43">
        <f t="shared" si="14"/>
        <v>0</v>
      </c>
      <c r="Y50" s="43">
        <f t="shared" si="14"/>
        <v>0</v>
      </c>
      <c r="Z50" s="43">
        <f>Z51+Z52</f>
        <v>0</v>
      </c>
      <c r="AA50" s="43">
        <f>SUM(D50:Y50)</f>
        <v>8.023</v>
      </c>
      <c r="AB50" s="41">
        <f t="shared" si="4"/>
        <v>-47.71600000000001</v>
      </c>
      <c r="AD50" s="8"/>
      <c r="AE50" s="48"/>
      <c r="AF50" s="3"/>
      <c r="AG50" s="4"/>
      <c r="AH50" s="4"/>
      <c r="AI50" s="4"/>
      <c r="AJ50" s="4"/>
      <c r="AK50" s="4"/>
      <c r="AL50" s="4"/>
      <c r="AM50" s="4"/>
      <c r="AN50" s="4"/>
    </row>
    <row r="51" spans="2:40" s="51" customFormat="1" ht="15">
      <c r="B51" s="44" t="s">
        <v>20</v>
      </c>
      <c r="C51" s="34">
        <v>0.737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-0.737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2:40" s="51" customFormat="1" ht="15">
      <c r="B52" s="44" t="s">
        <v>35</v>
      </c>
      <c r="C52" s="34">
        <v>55.002</v>
      </c>
      <c r="D52" s="22"/>
      <c r="E52" s="22">
        <v>8.023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17">
        <f>SUM(D52:Z52)</f>
        <v>8.023</v>
      </c>
      <c r="AB52" s="41">
        <f t="shared" si="4"/>
        <v>-46.979</v>
      </c>
      <c r="AD52" s="52"/>
      <c r="AE52" s="53"/>
      <c r="AF52" s="54"/>
      <c r="AG52" s="55"/>
      <c r="AH52" s="55"/>
      <c r="AI52" s="55"/>
      <c r="AJ52" s="55"/>
      <c r="AK52" s="55"/>
      <c r="AL52" s="55"/>
      <c r="AM52" s="55"/>
      <c r="AN52" s="55"/>
    </row>
    <row r="53" spans="1:40" s="1" customFormat="1" ht="15">
      <c r="A53" s="1">
        <v>110000</v>
      </c>
      <c r="B53" s="42" t="s">
        <v>46</v>
      </c>
      <c r="C53" s="43">
        <f aca="true" t="shared" si="15" ref="C53:AA53">SUM(C54:C57)</f>
        <v>1022.547</v>
      </c>
      <c r="D53" s="43">
        <f t="shared" si="15"/>
        <v>0</v>
      </c>
      <c r="E53" s="43">
        <f t="shared" si="15"/>
        <v>0</v>
      </c>
      <c r="F53" s="43">
        <f t="shared" si="15"/>
        <v>0</v>
      </c>
      <c r="G53" s="43">
        <f t="shared" si="15"/>
        <v>0</v>
      </c>
      <c r="H53" s="43">
        <f t="shared" si="15"/>
        <v>0</v>
      </c>
      <c r="I53" s="43">
        <f t="shared" si="15"/>
        <v>0</v>
      </c>
      <c r="J53" s="43">
        <f t="shared" si="15"/>
        <v>0</v>
      </c>
      <c r="K53" s="43">
        <f t="shared" si="15"/>
        <v>0</v>
      </c>
      <c r="L53" s="43">
        <f t="shared" si="15"/>
        <v>0</v>
      </c>
      <c r="M53" s="43">
        <f t="shared" si="15"/>
        <v>0</v>
      </c>
      <c r="N53" s="43">
        <f t="shared" si="15"/>
        <v>0</v>
      </c>
      <c r="O53" s="43">
        <f t="shared" si="15"/>
        <v>0</v>
      </c>
      <c r="P53" s="43">
        <f t="shared" si="15"/>
        <v>0</v>
      </c>
      <c r="Q53" s="43">
        <f t="shared" si="15"/>
        <v>0</v>
      </c>
      <c r="R53" s="43">
        <f t="shared" si="15"/>
        <v>0</v>
      </c>
      <c r="S53" s="43">
        <f t="shared" si="15"/>
        <v>0</v>
      </c>
      <c r="T53" s="43">
        <f>SUM(T54:T57)</f>
        <v>0</v>
      </c>
      <c r="U53" s="43">
        <f t="shared" si="15"/>
        <v>0</v>
      </c>
      <c r="V53" s="43">
        <f t="shared" si="15"/>
        <v>0</v>
      </c>
      <c r="W53" s="43">
        <f t="shared" si="15"/>
        <v>0</v>
      </c>
      <c r="X53" s="43">
        <f t="shared" si="15"/>
        <v>0</v>
      </c>
      <c r="Y53" s="43">
        <f t="shared" si="15"/>
        <v>0</v>
      </c>
      <c r="Z53" s="43">
        <f>SUM(Z54:Z57)</f>
        <v>0</v>
      </c>
      <c r="AA53" s="43">
        <f t="shared" si="15"/>
        <v>0</v>
      </c>
      <c r="AB53" s="41">
        <f t="shared" si="4"/>
        <v>-1022.547</v>
      </c>
      <c r="AC53" s="5"/>
      <c r="AD53" s="3"/>
      <c r="AE53" s="3"/>
      <c r="AF53" s="3"/>
      <c r="AG53" s="4"/>
      <c r="AH53" s="4"/>
      <c r="AI53" s="4"/>
      <c r="AJ53" s="4"/>
      <c r="AK53" s="4"/>
      <c r="AL53" s="4"/>
      <c r="AM53" s="4"/>
      <c r="AN53" s="4"/>
    </row>
    <row r="54" spans="2:28" ht="15">
      <c r="B54" s="44" t="s">
        <v>20</v>
      </c>
      <c r="C54" s="45">
        <v>556.296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/>
      <c r="S54" s="17"/>
      <c r="T54" s="17"/>
      <c r="U54" s="17"/>
      <c r="V54" s="22"/>
      <c r="W54" s="22"/>
      <c r="X54" s="22"/>
      <c r="Y54" s="17"/>
      <c r="Z54" s="17"/>
      <c r="AA54" s="17">
        <f>SUM(D54:Z54)</f>
        <v>0</v>
      </c>
      <c r="AB54" s="41">
        <f t="shared" si="4"/>
        <v>-556.296</v>
      </c>
    </row>
    <row r="55" spans="2:28" ht="15">
      <c r="B55" s="44" t="s">
        <v>22</v>
      </c>
      <c r="C55" s="45">
        <v>247.4</v>
      </c>
      <c r="D55" s="17"/>
      <c r="E55" s="17"/>
      <c r="F55" s="17"/>
      <c r="G55" s="17"/>
      <c r="H55" s="17"/>
      <c r="I55" s="17"/>
      <c r="J55" s="22"/>
      <c r="K55" s="17"/>
      <c r="L55" s="17"/>
      <c r="M55" s="17"/>
      <c r="N55" s="17"/>
      <c r="O55" s="17"/>
      <c r="P55" s="50"/>
      <c r="Q55" s="17"/>
      <c r="R55" s="50"/>
      <c r="S55" s="17"/>
      <c r="T55" s="17"/>
      <c r="U55" s="17"/>
      <c r="V55" s="22"/>
      <c r="W55" s="22"/>
      <c r="X55" s="22"/>
      <c r="Y55" s="17"/>
      <c r="Z55" s="17"/>
      <c r="AA55" s="17">
        <f>SUM(D55:Z55)</f>
        <v>0</v>
      </c>
      <c r="AB55" s="41">
        <f t="shared" si="4"/>
        <v>-247.4</v>
      </c>
    </row>
    <row r="56" spans="2:28" ht="15">
      <c r="B56" s="44" t="s">
        <v>47</v>
      </c>
      <c r="C56" s="45">
        <v>13.7</v>
      </c>
      <c r="D56" s="17"/>
      <c r="E56" s="17"/>
      <c r="F56" s="17"/>
      <c r="G56" s="17"/>
      <c r="H56" s="17"/>
      <c r="I56" s="17"/>
      <c r="J56" s="22"/>
      <c r="K56" s="17"/>
      <c r="L56" s="17"/>
      <c r="M56" s="17"/>
      <c r="N56" s="17"/>
      <c r="O56" s="17"/>
      <c r="P56" s="50"/>
      <c r="Q56" s="17"/>
      <c r="R56" s="50"/>
      <c r="S56" s="17"/>
      <c r="T56" s="17"/>
      <c r="U56" s="17"/>
      <c r="V56" s="22"/>
      <c r="W56" s="22"/>
      <c r="X56" s="22"/>
      <c r="Y56" s="17"/>
      <c r="Z56" s="17"/>
      <c r="AA56" s="17">
        <f>SUM(D56:Z56)</f>
        <v>0</v>
      </c>
      <c r="AB56" s="41">
        <f t="shared" si="4"/>
        <v>-13.7</v>
      </c>
    </row>
    <row r="57" spans="2:29" ht="15">
      <c r="B57" s="44" t="s">
        <v>24</v>
      </c>
      <c r="C57" s="45">
        <v>205.151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>
        <f>SUM(D57:Z57)</f>
        <v>0</v>
      </c>
      <c r="AB57" s="41">
        <f t="shared" si="4"/>
        <v>-205.151</v>
      </c>
      <c r="AC57" s="1"/>
    </row>
    <row r="58" spans="1:40" s="1" customFormat="1" ht="15">
      <c r="A58" s="1">
        <v>130000</v>
      </c>
      <c r="B58" s="42" t="s">
        <v>48</v>
      </c>
      <c r="C58" s="43">
        <f>SUM(C59:C63)</f>
        <v>674.64851</v>
      </c>
      <c r="D58" s="43">
        <f aca="true" t="shared" si="16" ref="D58:AA58">SUM(D59:D63)</f>
        <v>0</v>
      </c>
      <c r="E58" s="43">
        <f t="shared" si="16"/>
        <v>0</v>
      </c>
      <c r="F58" s="43">
        <f t="shared" si="16"/>
        <v>0</v>
      </c>
      <c r="G58" s="43">
        <f t="shared" si="16"/>
        <v>0</v>
      </c>
      <c r="H58" s="43">
        <f t="shared" si="16"/>
        <v>0</v>
      </c>
      <c r="I58" s="43">
        <f t="shared" si="16"/>
        <v>0</v>
      </c>
      <c r="J58" s="43">
        <f t="shared" si="16"/>
        <v>0</v>
      </c>
      <c r="K58" s="43">
        <f t="shared" si="16"/>
        <v>0</v>
      </c>
      <c r="L58" s="43">
        <f t="shared" si="16"/>
        <v>0</v>
      </c>
      <c r="M58" s="43">
        <f t="shared" si="16"/>
        <v>0</v>
      </c>
      <c r="N58" s="43">
        <f t="shared" si="16"/>
        <v>0</v>
      </c>
      <c r="O58" s="43">
        <f t="shared" si="16"/>
        <v>0</v>
      </c>
      <c r="P58" s="43">
        <f t="shared" si="16"/>
        <v>0</v>
      </c>
      <c r="Q58" s="43">
        <f t="shared" si="16"/>
        <v>0</v>
      </c>
      <c r="R58" s="43">
        <f t="shared" si="16"/>
        <v>0</v>
      </c>
      <c r="S58" s="43">
        <f t="shared" si="16"/>
        <v>0</v>
      </c>
      <c r="T58" s="43">
        <f>SUM(T59:T63)</f>
        <v>0</v>
      </c>
      <c r="U58" s="43">
        <f>SUM(U59:U63)</f>
        <v>0</v>
      </c>
      <c r="V58" s="43">
        <f t="shared" si="16"/>
        <v>0</v>
      </c>
      <c r="W58" s="43">
        <f t="shared" si="16"/>
        <v>0</v>
      </c>
      <c r="X58" s="43">
        <f t="shared" si="16"/>
        <v>0</v>
      </c>
      <c r="Y58" s="43">
        <f t="shared" si="16"/>
        <v>0</v>
      </c>
      <c r="Z58" s="43">
        <f>SUM(Z59:Z63)</f>
        <v>0</v>
      </c>
      <c r="AA58" s="43">
        <f t="shared" si="16"/>
        <v>0</v>
      </c>
      <c r="AB58" s="41">
        <f t="shared" si="4"/>
        <v>-674.64851</v>
      </c>
      <c r="AC58" s="5"/>
      <c r="AD58" s="3"/>
      <c r="AE58" s="3"/>
      <c r="AF58" s="3"/>
      <c r="AG58" s="4"/>
      <c r="AH58" s="4"/>
      <c r="AI58" s="4"/>
      <c r="AJ58" s="4"/>
      <c r="AK58" s="4"/>
      <c r="AL58" s="4"/>
      <c r="AM58" s="4"/>
      <c r="AN58" s="4"/>
    </row>
    <row r="59" spans="2:28" ht="15">
      <c r="B59" s="44" t="s">
        <v>20</v>
      </c>
      <c r="C59" s="45">
        <v>328.882</v>
      </c>
      <c r="D59" s="17"/>
      <c r="E59" s="17"/>
      <c r="F59" s="17"/>
      <c r="G59" s="17"/>
      <c r="H59" s="17"/>
      <c r="I59" s="17"/>
      <c r="J59" s="50"/>
      <c r="K59" s="17"/>
      <c r="L59" s="17"/>
      <c r="M59" s="17"/>
      <c r="N59" s="17"/>
      <c r="O59" s="17"/>
      <c r="P59" s="50"/>
      <c r="Q59" s="17"/>
      <c r="R59" s="50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-328.882</v>
      </c>
    </row>
    <row r="60" spans="2:28" ht="15">
      <c r="B60" s="44" t="s">
        <v>29</v>
      </c>
      <c r="C60" s="45">
        <v>0.00051</v>
      </c>
      <c r="D60" s="17"/>
      <c r="E60" s="17"/>
      <c r="F60" s="17"/>
      <c r="G60" s="17"/>
      <c r="H60" s="17"/>
      <c r="I60" s="17"/>
      <c r="J60" s="50"/>
      <c r="K60" s="17"/>
      <c r="L60" s="17"/>
      <c r="M60" s="17"/>
      <c r="N60" s="17"/>
      <c r="O60" s="17"/>
      <c r="P60" s="50"/>
      <c r="Q60" s="17"/>
      <c r="R60" s="50"/>
      <c r="S60" s="17"/>
      <c r="T60" s="17"/>
      <c r="U60" s="17"/>
      <c r="V60" s="22"/>
      <c r="W60" s="22"/>
      <c r="X60" s="17"/>
      <c r="Y60" s="17"/>
      <c r="Z60" s="17"/>
      <c r="AA60" s="17">
        <f>SUM(D60:Z60)</f>
        <v>0</v>
      </c>
      <c r="AB60" s="41">
        <f t="shared" si="4"/>
        <v>-0.00051</v>
      </c>
    </row>
    <row r="61" spans="2:28" ht="15">
      <c r="B61" s="44" t="s">
        <v>22</v>
      </c>
      <c r="C61" s="45">
        <v>103.121</v>
      </c>
      <c r="D61" s="17"/>
      <c r="E61" s="17"/>
      <c r="F61" s="17"/>
      <c r="G61" s="17"/>
      <c r="H61" s="17"/>
      <c r="I61" s="17"/>
      <c r="J61" s="22"/>
      <c r="K61" s="17"/>
      <c r="L61" s="17"/>
      <c r="M61" s="17"/>
      <c r="N61" s="17"/>
      <c r="O61" s="17"/>
      <c r="P61" s="50"/>
      <c r="Q61" s="17"/>
      <c r="R61" s="17"/>
      <c r="S61" s="17"/>
      <c r="T61" s="17"/>
      <c r="U61" s="17"/>
      <c r="V61" s="22"/>
      <c r="W61" s="22"/>
      <c r="X61" s="17"/>
      <c r="Y61" s="17"/>
      <c r="Z61" s="17"/>
      <c r="AA61" s="17">
        <f>SUM(D61:Z61)</f>
        <v>0</v>
      </c>
      <c r="AB61" s="41">
        <f t="shared" si="4"/>
        <v>-103.121</v>
      </c>
    </row>
    <row r="62" spans="2:28" ht="15">
      <c r="B62" s="44" t="s">
        <v>35</v>
      </c>
      <c r="C62" s="45">
        <v>52.64</v>
      </c>
      <c r="D62" s="17"/>
      <c r="E62" s="17"/>
      <c r="F62" s="17"/>
      <c r="G62" s="17"/>
      <c r="H62" s="17"/>
      <c r="I62" s="17"/>
      <c r="J62" s="22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22"/>
      <c r="W62" s="17"/>
      <c r="X62" s="22"/>
      <c r="Y62" s="22"/>
      <c r="Z62" s="22"/>
      <c r="AA62" s="17">
        <f>SUM(D62:Z62)</f>
        <v>0</v>
      </c>
      <c r="AB62" s="41">
        <f t="shared" si="4"/>
        <v>-52.64</v>
      </c>
    </row>
    <row r="63" spans="2:28" ht="15">
      <c r="B63" s="44" t="s">
        <v>24</v>
      </c>
      <c r="C63" s="45">
        <v>190.005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>
        <f>SUM(D63:Z63)</f>
        <v>0</v>
      </c>
      <c r="AB63" s="41">
        <f t="shared" si="4"/>
        <v>-190.005</v>
      </c>
    </row>
    <row r="64" spans="2:28" ht="27.75">
      <c r="B64" s="42" t="s">
        <v>49</v>
      </c>
      <c r="C64" s="43">
        <f>C65</f>
        <v>2462.364</v>
      </c>
      <c r="D64" s="43">
        <f>D65</f>
        <v>0</v>
      </c>
      <c r="E64" s="43">
        <f aca="true" t="shared" si="17" ref="E64:Y64">E65</f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0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0</v>
      </c>
      <c r="S64" s="43">
        <f t="shared" si="17"/>
        <v>0</v>
      </c>
      <c r="T64" s="43">
        <f t="shared" si="17"/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</f>
        <v>0</v>
      </c>
      <c r="AA64" s="43">
        <f>AA65</f>
        <v>0</v>
      </c>
      <c r="AB64" s="41">
        <f t="shared" si="4"/>
        <v>-2462.364</v>
      </c>
    </row>
    <row r="65" spans="2:28" ht="15">
      <c r="B65" s="44" t="s">
        <v>35</v>
      </c>
      <c r="C65" s="45">
        <v>2462.364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22">
        <f>SUM(D65:Z65)</f>
        <v>0</v>
      </c>
      <c r="AB65" s="41">
        <f t="shared" si="4"/>
        <v>-2462.364</v>
      </c>
    </row>
    <row r="66" spans="2:28" ht="15">
      <c r="B66" s="42" t="s">
        <v>50</v>
      </c>
      <c r="C66" s="43">
        <f>C67+C68</f>
        <v>3177.5570000000002</v>
      </c>
      <c r="D66" s="43">
        <f aca="true" t="shared" si="18" ref="D66:AA66">D67+D68</f>
        <v>0</v>
      </c>
      <c r="E66" s="43">
        <f t="shared" si="18"/>
        <v>0</v>
      </c>
      <c r="F66" s="43">
        <f t="shared" si="18"/>
        <v>0</v>
      </c>
      <c r="G66" s="43">
        <f t="shared" si="18"/>
        <v>0</v>
      </c>
      <c r="H66" s="43">
        <f t="shared" si="18"/>
        <v>0</v>
      </c>
      <c r="I66" s="43">
        <f t="shared" si="18"/>
        <v>0</v>
      </c>
      <c r="J66" s="43">
        <f t="shared" si="18"/>
        <v>0</v>
      </c>
      <c r="K66" s="43">
        <f t="shared" si="18"/>
        <v>0</v>
      </c>
      <c r="L66" s="43">
        <f t="shared" si="18"/>
        <v>0</v>
      </c>
      <c r="M66" s="43">
        <f t="shared" si="18"/>
        <v>0</v>
      </c>
      <c r="N66" s="43">
        <f t="shared" si="18"/>
        <v>0</v>
      </c>
      <c r="O66" s="43">
        <f t="shared" si="18"/>
        <v>0</v>
      </c>
      <c r="P66" s="43">
        <f t="shared" si="18"/>
        <v>0</v>
      </c>
      <c r="Q66" s="43">
        <f t="shared" si="18"/>
        <v>0</v>
      </c>
      <c r="R66" s="43">
        <f t="shared" si="18"/>
        <v>0</v>
      </c>
      <c r="S66" s="43">
        <f t="shared" si="18"/>
        <v>0</v>
      </c>
      <c r="T66" s="43">
        <f>T67+T68</f>
        <v>0</v>
      </c>
      <c r="U66" s="43">
        <f t="shared" si="18"/>
        <v>0</v>
      </c>
      <c r="V66" s="43">
        <f t="shared" si="18"/>
        <v>0</v>
      </c>
      <c r="W66" s="43">
        <f t="shared" si="18"/>
        <v>0</v>
      </c>
      <c r="X66" s="43">
        <f t="shared" si="18"/>
        <v>0</v>
      </c>
      <c r="Y66" s="43">
        <f t="shared" si="18"/>
        <v>0</v>
      </c>
      <c r="Z66" s="43">
        <f>Z67+Z68</f>
        <v>0</v>
      </c>
      <c r="AA66" s="43">
        <f t="shared" si="18"/>
        <v>0</v>
      </c>
      <c r="AB66" s="41">
        <f t="shared" si="4"/>
        <v>-3177.5570000000002</v>
      </c>
    </row>
    <row r="67" spans="2:28" ht="15">
      <c r="B67" s="56" t="s">
        <v>51</v>
      </c>
      <c r="C67" s="34">
        <v>314.072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>
        <f>SUM(D67:Z67)</f>
        <v>0</v>
      </c>
      <c r="AB67" s="41">
        <f t="shared" si="4"/>
        <v>-314.072</v>
      </c>
    </row>
    <row r="68" spans="2:28" ht="15">
      <c r="B68" s="56" t="s">
        <v>35</v>
      </c>
      <c r="C68" s="34">
        <v>2863.485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-2863.485</v>
      </c>
    </row>
    <row r="69" spans="2:28" ht="15">
      <c r="B69" s="42" t="s">
        <v>52</v>
      </c>
      <c r="C69" s="43">
        <f>C70+C71</f>
        <v>86.63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>
        <f>Z70+Z71</f>
        <v>0</v>
      </c>
      <c r="AA69" s="43">
        <f>AA70+AA71</f>
        <v>0</v>
      </c>
      <c r="AB69" s="41">
        <f t="shared" si="4"/>
        <v>-86.63</v>
      </c>
    </row>
    <row r="70" spans="2:28" ht="15">
      <c r="B70" s="44" t="s">
        <v>22</v>
      </c>
      <c r="C70" s="34">
        <v>70.1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>
        <f>SUM(D70:Z70)</f>
        <v>0</v>
      </c>
      <c r="AB70" s="41">
        <f t="shared" si="4"/>
        <v>-70.1</v>
      </c>
    </row>
    <row r="71" spans="2:28" ht="15">
      <c r="B71" s="44" t="s">
        <v>35</v>
      </c>
      <c r="C71" s="34">
        <v>16.53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>
        <f>SUM(D71:Z71)</f>
        <v>0</v>
      </c>
      <c r="AB71" s="41">
        <f t="shared" si="4"/>
        <v>-16.53</v>
      </c>
    </row>
    <row r="72" spans="2:28" ht="45" customHeight="1" hidden="1">
      <c r="B72" s="57" t="s">
        <v>53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>
        <f>SUM(D72:Z72)</f>
        <v>0</v>
      </c>
      <c r="AB72" s="41">
        <f t="shared" si="4"/>
        <v>0</v>
      </c>
    </row>
    <row r="73" spans="1:29" ht="15">
      <c r="A73" s="1">
        <v>170703</v>
      </c>
      <c r="B73" s="42" t="s">
        <v>54</v>
      </c>
      <c r="C73" s="43">
        <f>C74</f>
        <v>2.955</v>
      </c>
      <c r="D73" s="43">
        <f aca="true" t="shared" si="19" ref="D73:AA73">D74</f>
        <v>0</v>
      </c>
      <c r="E73" s="43">
        <f t="shared" si="19"/>
        <v>0</v>
      </c>
      <c r="F73" s="43">
        <f t="shared" si="19"/>
        <v>0</v>
      </c>
      <c r="G73" s="43">
        <f t="shared" si="19"/>
        <v>0</v>
      </c>
      <c r="H73" s="43">
        <f t="shared" si="19"/>
        <v>0</v>
      </c>
      <c r="I73" s="43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3">
        <f t="shared" si="19"/>
        <v>0</v>
      </c>
      <c r="Q73" s="43">
        <f t="shared" si="19"/>
        <v>0</v>
      </c>
      <c r="R73" s="43">
        <f t="shared" si="19"/>
        <v>0</v>
      </c>
      <c r="S73" s="43">
        <f t="shared" si="19"/>
        <v>0</v>
      </c>
      <c r="T73" s="43">
        <f t="shared" si="19"/>
        <v>0</v>
      </c>
      <c r="U73" s="43">
        <f t="shared" si="19"/>
        <v>0</v>
      </c>
      <c r="V73" s="43">
        <f t="shared" si="19"/>
        <v>0</v>
      </c>
      <c r="W73" s="43">
        <f t="shared" si="19"/>
        <v>0</v>
      </c>
      <c r="X73" s="43">
        <f t="shared" si="19"/>
        <v>0</v>
      </c>
      <c r="Y73" s="43">
        <f t="shared" si="19"/>
        <v>0</v>
      </c>
      <c r="Z73" s="43">
        <f t="shared" si="19"/>
        <v>0</v>
      </c>
      <c r="AA73" s="43">
        <f t="shared" si="19"/>
        <v>0</v>
      </c>
      <c r="AB73" s="41">
        <f t="shared" si="4"/>
        <v>-2.955</v>
      </c>
      <c r="AC73" s="26"/>
    </row>
    <row r="74" spans="2:40" s="26" customFormat="1" ht="15">
      <c r="B74" s="56" t="s">
        <v>51</v>
      </c>
      <c r="C74" s="34">
        <v>2.955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>
        <f aca="true" t="shared" si="20" ref="AA74:AA83">SUM(D74:Z74)</f>
        <v>0</v>
      </c>
      <c r="AB74" s="41">
        <f t="shared" si="4"/>
        <v>-2.955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7">
      <c r="B75" s="57" t="s">
        <v>55</v>
      </c>
      <c r="C75" s="43">
        <v>10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0</v>
      </c>
      <c r="AB75" s="41">
        <f t="shared" si="4"/>
        <v>-10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">
      <c r="B76" s="57" t="s">
        <v>56</v>
      </c>
      <c r="C76" s="43">
        <f>322.078-322.078</f>
        <v>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>
        <f t="shared" si="20"/>
        <v>0</v>
      </c>
      <c r="AB76" s="41">
        <f t="shared" si="4"/>
        <v>0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">
      <c r="B77" s="57" t="s">
        <v>57</v>
      </c>
      <c r="C77" s="43">
        <f>8.1824+3.663</f>
        <v>11.8454</v>
      </c>
      <c r="D77" s="43"/>
      <c r="E77" s="43">
        <v>11.845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11.845</v>
      </c>
      <c r="AB77" s="41">
        <f t="shared" si="4"/>
        <v>-0.00039999999999906777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2:40" s="26" customFormat="1" ht="15">
      <c r="B78" s="57" t="s">
        <v>58</v>
      </c>
      <c r="C78" s="43">
        <v>0.00102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-0.00102</v>
      </c>
      <c r="AD78" s="52"/>
      <c r="AE78" s="52"/>
      <c r="AF78" s="52"/>
      <c r="AG78" s="33"/>
      <c r="AH78" s="33"/>
      <c r="AI78" s="33"/>
      <c r="AJ78" s="33"/>
      <c r="AK78" s="33"/>
      <c r="AL78" s="33"/>
      <c r="AM78" s="33"/>
      <c r="AN78" s="33"/>
    </row>
    <row r="79" spans="1:40" s="1" customFormat="1" ht="15">
      <c r="A79" s="1">
        <v>250102</v>
      </c>
      <c r="B79" s="42" t="s">
        <v>59</v>
      </c>
      <c r="C79" s="43">
        <v>201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-201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55.5">
      <c r="B80" s="42" t="s">
        <v>60</v>
      </c>
      <c r="C80" s="43">
        <v>47.94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-47.94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71.25" customHeight="1" hidden="1">
      <c r="B81" s="42" t="s">
        <v>61</v>
      </c>
      <c r="C81" s="43">
        <v>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55.5" hidden="1">
      <c r="B82" s="42" t="s">
        <v>62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>
        <f t="shared" si="20"/>
        <v>0</v>
      </c>
      <c r="AB82" s="41">
        <f t="shared" si="4"/>
        <v>0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42">
      <c r="B83" s="42" t="s">
        <v>63</v>
      </c>
      <c r="C83" s="43">
        <v>0</v>
      </c>
      <c r="D83" s="43"/>
      <c r="E83" s="43">
        <v>56.952</v>
      </c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>
        <f t="shared" si="20"/>
        <v>56.952</v>
      </c>
      <c r="AB83" s="41">
        <f t="shared" si="4"/>
        <v>56.952</v>
      </c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2:40" s="1" customFormat="1" ht="15">
      <c r="B84" s="58" t="s">
        <v>64</v>
      </c>
      <c r="C84" s="59">
        <f>SUM(C85:C91)</f>
        <v>29655.87767</v>
      </c>
      <c r="D84" s="59">
        <f aca="true" t="shared" si="21" ref="D84:AA84">SUM(D85:D91)</f>
        <v>0</v>
      </c>
      <c r="E84" s="59">
        <f t="shared" si="21"/>
        <v>168.292</v>
      </c>
      <c r="F84" s="59">
        <f t="shared" si="21"/>
        <v>0</v>
      </c>
      <c r="G84" s="59">
        <f t="shared" si="21"/>
        <v>0</v>
      </c>
      <c r="H84" s="59">
        <f t="shared" si="21"/>
        <v>0</v>
      </c>
      <c r="I84" s="59">
        <f t="shared" si="21"/>
        <v>0</v>
      </c>
      <c r="J84" s="59">
        <f t="shared" si="21"/>
        <v>0</v>
      </c>
      <c r="K84" s="59">
        <f t="shared" si="21"/>
        <v>0</v>
      </c>
      <c r="L84" s="59">
        <f t="shared" si="21"/>
        <v>0</v>
      </c>
      <c r="M84" s="59">
        <f t="shared" si="21"/>
        <v>0</v>
      </c>
      <c r="N84" s="59">
        <f t="shared" si="21"/>
        <v>0</v>
      </c>
      <c r="O84" s="59">
        <f t="shared" si="21"/>
        <v>0</v>
      </c>
      <c r="P84" s="59">
        <f t="shared" si="21"/>
        <v>0</v>
      </c>
      <c r="Q84" s="59">
        <f t="shared" si="21"/>
        <v>0</v>
      </c>
      <c r="R84" s="59">
        <f t="shared" si="21"/>
        <v>0</v>
      </c>
      <c r="S84" s="59">
        <f t="shared" si="21"/>
        <v>0</v>
      </c>
      <c r="T84" s="59">
        <f>SUM(T85:T91)</f>
        <v>0</v>
      </c>
      <c r="U84" s="59">
        <f t="shared" si="21"/>
        <v>0</v>
      </c>
      <c r="V84" s="59">
        <f t="shared" si="21"/>
        <v>0</v>
      </c>
      <c r="W84" s="59">
        <f t="shared" si="21"/>
        <v>0</v>
      </c>
      <c r="X84" s="59">
        <f t="shared" si="21"/>
        <v>0</v>
      </c>
      <c r="Y84" s="59">
        <f t="shared" si="21"/>
        <v>0</v>
      </c>
      <c r="Z84" s="59">
        <f t="shared" si="21"/>
        <v>0</v>
      </c>
      <c r="AA84" s="59">
        <f t="shared" si="21"/>
        <v>168.292</v>
      </c>
      <c r="AB84" s="41">
        <f aca="true" t="shared" si="22" ref="AB84:AB91">AA84-C84</f>
        <v>-29487.58567</v>
      </c>
      <c r="AC84" s="5"/>
      <c r="AD84" s="3"/>
      <c r="AE84" s="3"/>
      <c r="AF84" s="3"/>
      <c r="AG84" s="4"/>
      <c r="AH84" s="4"/>
      <c r="AI84" s="4"/>
      <c r="AJ84" s="4"/>
      <c r="AK84" s="4"/>
      <c r="AL84" s="4"/>
      <c r="AM84" s="4"/>
      <c r="AN84" s="4"/>
    </row>
    <row r="85" spans="1:40" s="8" customFormat="1" ht="15">
      <c r="A85" s="5"/>
      <c r="B85" s="44" t="s">
        <v>20</v>
      </c>
      <c r="C85" s="45">
        <f aca="true" t="shared" si="23" ref="C85:AA85">C20+C37+C43+C47+C51+C54+C59+C24</f>
        <v>15032.274</v>
      </c>
      <c r="D85" s="45">
        <f t="shared" si="23"/>
        <v>0</v>
      </c>
      <c r="E85" s="45">
        <f t="shared" si="23"/>
        <v>0</v>
      </c>
      <c r="F85" s="45">
        <f t="shared" si="23"/>
        <v>0</v>
      </c>
      <c r="G85" s="45">
        <f t="shared" si="23"/>
        <v>0</v>
      </c>
      <c r="H85" s="45">
        <f t="shared" si="23"/>
        <v>0</v>
      </c>
      <c r="I85" s="45">
        <f t="shared" si="23"/>
        <v>0</v>
      </c>
      <c r="J85" s="45">
        <f t="shared" si="23"/>
        <v>0</v>
      </c>
      <c r="K85" s="45">
        <f t="shared" si="23"/>
        <v>0</v>
      </c>
      <c r="L85" s="45">
        <f t="shared" si="23"/>
        <v>0</v>
      </c>
      <c r="M85" s="45">
        <f t="shared" si="23"/>
        <v>0</v>
      </c>
      <c r="N85" s="45">
        <f t="shared" si="23"/>
        <v>0</v>
      </c>
      <c r="O85" s="45">
        <f t="shared" si="23"/>
        <v>0</v>
      </c>
      <c r="P85" s="45">
        <f t="shared" si="23"/>
        <v>0</v>
      </c>
      <c r="Q85" s="45">
        <f t="shared" si="23"/>
        <v>0</v>
      </c>
      <c r="R85" s="45">
        <f t="shared" si="23"/>
        <v>0</v>
      </c>
      <c r="S85" s="45">
        <f t="shared" si="23"/>
        <v>0</v>
      </c>
      <c r="T85" s="45">
        <f t="shared" si="23"/>
        <v>0</v>
      </c>
      <c r="U85" s="45">
        <f t="shared" si="23"/>
        <v>0</v>
      </c>
      <c r="V85" s="45">
        <f t="shared" si="23"/>
        <v>0</v>
      </c>
      <c r="W85" s="45">
        <f t="shared" si="23"/>
        <v>0</v>
      </c>
      <c r="X85" s="45">
        <f t="shared" si="23"/>
        <v>0</v>
      </c>
      <c r="Y85" s="45">
        <f t="shared" si="23"/>
        <v>0</v>
      </c>
      <c r="Z85" s="45">
        <f t="shared" si="23"/>
        <v>0</v>
      </c>
      <c r="AA85" s="45">
        <f t="shared" si="23"/>
        <v>0</v>
      </c>
      <c r="AB85" s="41">
        <f t="shared" si="22"/>
        <v>-15032.274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">
      <c r="A86" s="5"/>
      <c r="B86" s="44" t="s">
        <v>29</v>
      </c>
      <c r="C86" s="45">
        <f aca="true" t="shared" si="24" ref="C86:AA86">C25+C38+C60</f>
        <v>2.9385099999999995</v>
      </c>
      <c r="D86" s="45">
        <f t="shared" si="24"/>
        <v>0</v>
      </c>
      <c r="E86" s="45">
        <f t="shared" si="24"/>
        <v>0.5</v>
      </c>
      <c r="F86" s="45">
        <f t="shared" si="24"/>
        <v>0</v>
      </c>
      <c r="G86" s="45">
        <f t="shared" si="24"/>
        <v>0</v>
      </c>
      <c r="H86" s="45">
        <f t="shared" si="24"/>
        <v>0</v>
      </c>
      <c r="I86" s="45">
        <f t="shared" si="24"/>
        <v>0</v>
      </c>
      <c r="J86" s="45">
        <f t="shared" si="24"/>
        <v>0</v>
      </c>
      <c r="K86" s="45">
        <f t="shared" si="24"/>
        <v>0</v>
      </c>
      <c r="L86" s="45">
        <f t="shared" si="24"/>
        <v>0</v>
      </c>
      <c r="M86" s="45">
        <f t="shared" si="24"/>
        <v>0</v>
      </c>
      <c r="N86" s="45">
        <f t="shared" si="24"/>
        <v>0</v>
      </c>
      <c r="O86" s="45">
        <f t="shared" si="24"/>
        <v>0</v>
      </c>
      <c r="P86" s="45">
        <f t="shared" si="24"/>
        <v>0</v>
      </c>
      <c r="Q86" s="45">
        <f t="shared" si="24"/>
        <v>0</v>
      </c>
      <c r="R86" s="45">
        <f t="shared" si="24"/>
        <v>0</v>
      </c>
      <c r="S86" s="45">
        <f t="shared" si="24"/>
        <v>0</v>
      </c>
      <c r="T86" s="45">
        <f t="shared" si="24"/>
        <v>0</v>
      </c>
      <c r="U86" s="45">
        <f t="shared" si="24"/>
        <v>0</v>
      </c>
      <c r="V86" s="45">
        <f t="shared" si="24"/>
        <v>0</v>
      </c>
      <c r="W86" s="45">
        <f t="shared" si="24"/>
        <v>0</v>
      </c>
      <c r="X86" s="45">
        <f t="shared" si="24"/>
        <v>0</v>
      </c>
      <c r="Y86" s="45">
        <f t="shared" si="24"/>
        <v>0</v>
      </c>
      <c r="Z86" s="45">
        <f t="shared" si="24"/>
        <v>0</v>
      </c>
      <c r="AA86" s="45">
        <f t="shared" si="24"/>
        <v>0.5</v>
      </c>
      <c r="AB86" s="41">
        <f t="shared" si="22"/>
        <v>-2.4385099999999995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">
      <c r="A87" s="5"/>
      <c r="B87" s="44" t="s">
        <v>31</v>
      </c>
      <c r="C87" s="45">
        <f aca="true" t="shared" si="25" ref="C87:AA87">C26+C39</f>
        <v>662.305</v>
      </c>
      <c r="D87" s="45">
        <f t="shared" si="25"/>
        <v>0</v>
      </c>
      <c r="E87" s="45">
        <f t="shared" si="25"/>
        <v>22.103</v>
      </c>
      <c r="F87" s="45">
        <f t="shared" si="25"/>
        <v>0</v>
      </c>
      <c r="G87" s="45">
        <f t="shared" si="25"/>
        <v>0</v>
      </c>
      <c r="H87" s="45">
        <f t="shared" si="25"/>
        <v>0</v>
      </c>
      <c r="I87" s="45">
        <f t="shared" si="25"/>
        <v>0</v>
      </c>
      <c r="J87" s="45">
        <f t="shared" si="25"/>
        <v>0</v>
      </c>
      <c r="K87" s="45">
        <f t="shared" si="25"/>
        <v>0</v>
      </c>
      <c r="L87" s="45">
        <f t="shared" si="25"/>
        <v>0</v>
      </c>
      <c r="M87" s="45">
        <f t="shared" si="25"/>
        <v>0</v>
      </c>
      <c r="N87" s="45">
        <f t="shared" si="25"/>
        <v>0</v>
      </c>
      <c r="O87" s="45">
        <f t="shared" si="25"/>
        <v>0</v>
      </c>
      <c r="P87" s="45">
        <f t="shared" si="25"/>
        <v>0</v>
      </c>
      <c r="Q87" s="45">
        <f t="shared" si="25"/>
        <v>0</v>
      </c>
      <c r="R87" s="45">
        <f t="shared" si="25"/>
        <v>0</v>
      </c>
      <c r="S87" s="45">
        <f t="shared" si="25"/>
        <v>0</v>
      </c>
      <c r="T87" s="45">
        <f t="shared" si="25"/>
        <v>0</v>
      </c>
      <c r="U87" s="45">
        <f t="shared" si="25"/>
        <v>0</v>
      </c>
      <c r="V87" s="45">
        <f t="shared" si="25"/>
        <v>0</v>
      </c>
      <c r="W87" s="45">
        <f t="shared" si="25"/>
        <v>0</v>
      </c>
      <c r="X87" s="45">
        <f t="shared" si="25"/>
        <v>0</v>
      </c>
      <c r="Y87" s="45">
        <f t="shared" si="25"/>
        <v>0</v>
      </c>
      <c r="Z87" s="45">
        <f t="shared" si="25"/>
        <v>0</v>
      </c>
      <c r="AA87" s="45">
        <f t="shared" si="25"/>
        <v>22.103</v>
      </c>
      <c r="AB87" s="41">
        <f t="shared" si="22"/>
        <v>-640.202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">
      <c r="A88" s="5"/>
      <c r="B88" s="44" t="s">
        <v>22</v>
      </c>
      <c r="C88" s="45">
        <f aca="true" t="shared" si="26" ref="C88:AA88">C21+C27+C40+C44+C48+C55+C61+C70</f>
        <v>4584.030999999999</v>
      </c>
      <c r="D88" s="45">
        <f t="shared" si="26"/>
        <v>0</v>
      </c>
      <c r="E88" s="45">
        <f t="shared" si="26"/>
        <v>11.212</v>
      </c>
      <c r="F88" s="45">
        <f t="shared" si="26"/>
        <v>0</v>
      </c>
      <c r="G88" s="45">
        <f t="shared" si="26"/>
        <v>0</v>
      </c>
      <c r="H88" s="45">
        <f t="shared" si="26"/>
        <v>0</v>
      </c>
      <c r="I88" s="45">
        <f t="shared" si="26"/>
        <v>0</v>
      </c>
      <c r="J88" s="45">
        <f t="shared" si="26"/>
        <v>0</v>
      </c>
      <c r="K88" s="45">
        <f t="shared" si="26"/>
        <v>0</v>
      </c>
      <c r="L88" s="45">
        <f t="shared" si="26"/>
        <v>0</v>
      </c>
      <c r="M88" s="45">
        <f t="shared" si="26"/>
        <v>0</v>
      </c>
      <c r="N88" s="45">
        <f t="shared" si="26"/>
        <v>0</v>
      </c>
      <c r="O88" s="45">
        <f t="shared" si="26"/>
        <v>0</v>
      </c>
      <c r="P88" s="45">
        <f t="shared" si="26"/>
        <v>0</v>
      </c>
      <c r="Q88" s="45">
        <f t="shared" si="26"/>
        <v>0</v>
      </c>
      <c r="R88" s="45">
        <f t="shared" si="26"/>
        <v>0</v>
      </c>
      <c r="S88" s="45">
        <f t="shared" si="26"/>
        <v>0</v>
      </c>
      <c r="T88" s="45">
        <f t="shared" si="26"/>
        <v>0</v>
      </c>
      <c r="U88" s="45">
        <f t="shared" si="26"/>
        <v>0</v>
      </c>
      <c r="V88" s="45">
        <f t="shared" si="26"/>
        <v>0</v>
      </c>
      <c r="W88" s="45">
        <f t="shared" si="26"/>
        <v>0</v>
      </c>
      <c r="X88" s="45">
        <f t="shared" si="26"/>
        <v>0</v>
      </c>
      <c r="Y88" s="45">
        <f t="shared" si="26"/>
        <v>0</v>
      </c>
      <c r="Z88" s="45">
        <f t="shared" si="26"/>
        <v>0</v>
      </c>
      <c r="AA88" s="45">
        <f t="shared" si="26"/>
        <v>11.212</v>
      </c>
      <c r="AB88" s="41">
        <f t="shared" si="22"/>
        <v>-4572.818999999999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">
      <c r="A89" s="5"/>
      <c r="B89" s="44" t="s">
        <v>47</v>
      </c>
      <c r="C89" s="45">
        <f aca="true" t="shared" si="27" ref="C89:AA89">C56+C76</f>
        <v>13.7</v>
      </c>
      <c r="D89" s="45">
        <f t="shared" si="27"/>
        <v>0</v>
      </c>
      <c r="E89" s="45">
        <f t="shared" si="27"/>
        <v>0</v>
      </c>
      <c r="F89" s="45">
        <f t="shared" si="27"/>
        <v>0</v>
      </c>
      <c r="G89" s="45">
        <f t="shared" si="27"/>
        <v>0</v>
      </c>
      <c r="H89" s="45">
        <f t="shared" si="27"/>
        <v>0</v>
      </c>
      <c r="I89" s="45">
        <f t="shared" si="27"/>
        <v>0</v>
      </c>
      <c r="J89" s="45">
        <f t="shared" si="27"/>
        <v>0</v>
      </c>
      <c r="K89" s="45">
        <f t="shared" si="27"/>
        <v>0</v>
      </c>
      <c r="L89" s="45">
        <f t="shared" si="27"/>
        <v>0</v>
      </c>
      <c r="M89" s="45">
        <f t="shared" si="27"/>
        <v>0</v>
      </c>
      <c r="N89" s="45">
        <f t="shared" si="27"/>
        <v>0</v>
      </c>
      <c r="O89" s="45">
        <f t="shared" si="27"/>
        <v>0</v>
      </c>
      <c r="P89" s="45">
        <f t="shared" si="27"/>
        <v>0</v>
      </c>
      <c r="Q89" s="45">
        <f t="shared" si="27"/>
        <v>0</v>
      </c>
      <c r="R89" s="45">
        <f t="shared" si="27"/>
        <v>0</v>
      </c>
      <c r="S89" s="45">
        <f t="shared" si="27"/>
        <v>0</v>
      </c>
      <c r="T89" s="45">
        <f t="shared" si="27"/>
        <v>0</v>
      </c>
      <c r="U89" s="45">
        <f t="shared" si="27"/>
        <v>0</v>
      </c>
      <c r="V89" s="45">
        <f t="shared" si="27"/>
        <v>0</v>
      </c>
      <c r="W89" s="45">
        <f t="shared" si="27"/>
        <v>0</v>
      </c>
      <c r="X89" s="45">
        <f t="shared" si="27"/>
        <v>0</v>
      </c>
      <c r="Y89" s="45">
        <f t="shared" si="27"/>
        <v>0</v>
      </c>
      <c r="Z89" s="45">
        <f t="shared" si="27"/>
        <v>0</v>
      </c>
      <c r="AA89" s="45">
        <f t="shared" si="27"/>
        <v>0</v>
      </c>
      <c r="AB89" s="41">
        <f t="shared" si="22"/>
        <v>-13.7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">
      <c r="A90" s="5"/>
      <c r="B90" s="44" t="s">
        <v>35</v>
      </c>
      <c r="C90" s="45">
        <f>C30+C52+C62+C68+C31+C71+C80+C81+C82+C65</f>
        <v>5942.622</v>
      </c>
      <c r="D90" s="45">
        <f aca="true" t="shared" si="28" ref="D90:AA90">D30+D52+D62+D68+D31+D71+D80+D81+D82+D65</f>
        <v>0</v>
      </c>
      <c r="E90" s="45">
        <f t="shared" si="28"/>
        <v>8.023</v>
      </c>
      <c r="F90" s="45">
        <f t="shared" si="28"/>
        <v>0</v>
      </c>
      <c r="G90" s="45">
        <f t="shared" si="28"/>
        <v>0</v>
      </c>
      <c r="H90" s="45">
        <f t="shared" si="28"/>
        <v>0</v>
      </c>
      <c r="I90" s="45">
        <f t="shared" si="28"/>
        <v>0</v>
      </c>
      <c r="J90" s="45">
        <f t="shared" si="28"/>
        <v>0</v>
      </c>
      <c r="K90" s="45">
        <f t="shared" si="28"/>
        <v>0</v>
      </c>
      <c r="L90" s="45">
        <f t="shared" si="28"/>
        <v>0</v>
      </c>
      <c r="M90" s="45">
        <f t="shared" si="28"/>
        <v>0</v>
      </c>
      <c r="N90" s="45">
        <f t="shared" si="28"/>
        <v>0</v>
      </c>
      <c r="O90" s="45">
        <f t="shared" si="28"/>
        <v>0</v>
      </c>
      <c r="P90" s="45">
        <f t="shared" si="28"/>
        <v>0</v>
      </c>
      <c r="Q90" s="45">
        <f t="shared" si="28"/>
        <v>0</v>
      </c>
      <c r="R90" s="45">
        <f t="shared" si="28"/>
        <v>0</v>
      </c>
      <c r="S90" s="45">
        <f t="shared" si="28"/>
        <v>0</v>
      </c>
      <c r="T90" s="45">
        <f t="shared" si="28"/>
        <v>0</v>
      </c>
      <c r="U90" s="45">
        <f t="shared" si="28"/>
        <v>0</v>
      </c>
      <c r="V90" s="45">
        <f t="shared" si="28"/>
        <v>0</v>
      </c>
      <c r="W90" s="45">
        <f t="shared" si="28"/>
        <v>0</v>
      </c>
      <c r="X90" s="45">
        <f t="shared" si="28"/>
        <v>0</v>
      </c>
      <c r="Y90" s="45">
        <f t="shared" si="28"/>
        <v>0</v>
      </c>
      <c r="Z90" s="45">
        <f t="shared" si="28"/>
        <v>0</v>
      </c>
      <c r="AA90" s="45">
        <f t="shared" si="28"/>
        <v>8.023</v>
      </c>
      <c r="AB90" s="41">
        <f t="shared" si="22"/>
        <v>-5934.599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">
      <c r="A91" s="5"/>
      <c r="B91" s="44" t="s">
        <v>24</v>
      </c>
      <c r="C91" s="45">
        <f>C22+C28+C32+C33+C34+C41+C45+C49+C57+C63+C74+C78+C79+C83+C67+C77+C75+C35+C72</f>
        <v>3418.00716</v>
      </c>
      <c r="D91" s="45">
        <f aca="true" t="shared" si="29" ref="D91:AA91">D22+D28+D32+D33+D41+D45+D49+D57+D63+D74+D78+D79+D83+D67+D77+D75+D35+D72+D34</f>
        <v>0</v>
      </c>
      <c r="E91" s="45">
        <f t="shared" si="29"/>
        <v>126.45400000000001</v>
      </c>
      <c r="F91" s="45">
        <f t="shared" si="29"/>
        <v>0</v>
      </c>
      <c r="G91" s="45">
        <f t="shared" si="29"/>
        <v>0</v>
      </c>
      <c r="H91" s="45">
        <f t="shared" si="29"/>
        <v>0</v>
      </c>
      <c r="I91" s="45">
        <f t="shared" si="29"/>
        <v>0</v>
      </c>
      <c r="J91" s="45">
        <f t="shared" si="29"/>
        <v>0</v>
      </c>
      <c r="K91" s="45">
        <f t="shared" si="29"/>
        <v>0</v>
      </c>
      <c r="L91" s="45">
        <f t="shared" si="29"/>
        <v>0</v>
      </c>
      <c r="M91" s="45">
        <f t="shared" si="29"/>
        <v>0</v>
      </c>
      <c r="N91" s="45">
        <f t="shared" si="29"/>
        <v>0</v>
      </c>
      <c r="O91" s="45">
        <f t="shared" si="29"/>
        <v>0</v>
      </c>
      <c r="P91" s="45">
        <f t="shared" si="29"/>
        <v>0</v>
      </c>
      <c r="Q91" s="45">
        <f t="shared" si="29"/>
        <v>0</v>
      </c>
      <c r="R91" s="45">
        <f t="shared" si="29"/>
        <v>0</v>
      </c>
      <c r="S91" s="45">
        <f t="shared" si="29"/>
        <v>0</v>
      </c>
      <c r="T91" s="45">
        <f t="shared" si="29"/>
        <v>0</v>
      </c>
      <c r="U91" s="45">
        <f t="shared" si="29"/>
        <v>0</v>
      </c>
      <c r="V91" s="45">
        <f t="shared" si="29"/>
        <v>0</v>
      </c>
      <c r="W91" s="45">
        <f t="shared" si="29"/>
        <v>0</v>
      </c>
      <c r="X91" s="45">
        <f t="shared" si="29"/>
        <v>0</v>
      </c>
      <c r="Y91" s="45">
        <f t="shared" si="29"/>
        <v>0</v>
      </c>
      <c r="Z91" s="45">
        <f t="shared" si="29"/>
        <v>0</v>
      </c>
      <c r="AA91" s="45">
        <f t="shared" si="29"/>
        <v>126.45400000000001</v>
      </c>
      <c r="AB91" s="41">
        <f t="shared" si="22"/>
        <v>-3291.55316</v>
      </c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">
      <c r="A92" s="5"/>
      <c r="B92" s="5"/>
      <c r="C92" s="60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">
      <c r="A93" s="5"/>
      <c r="B93" s="5" t="s">
        <v>65</v>
      </c>
      <c r="C93" s="62">
        <f aca="true" t="shared" si="30" ref="C93:AA93">C18-C84</f>
        <v>0</v>
      </c>
      <c r="D93" s="62">
        <f t="shared" si="30"/>
        <v>0</v>
      </c>
      <c r="E93" s="62">
        <f t="shared" si="30"/>
        <v>0</v>
      </c>
      <c r="F93" s="62">
        <f t="shared" si="30"/>
        <v>0</v>
      </c>
      <c r="G93" s="62">
        <f t="shared" si="30"/>
        <v>0</v>
      </c>
      <c r="H93" s="62">
        <f t="shared" si="30"/>
        <v>0</v>
      </c>
      <c r="I93" s="62">
        <f t="shared" si="30"/>
        <v>0</v>
      </c>
      <c r="J93" s="62">
        <f t="shared" si="30"/>
        <v>0</v>
      </c>
      <c r="K93" s="62">
        <f t="shared" si="30"/>
        <v>0</v>
      </c>
      <c r="L93" s="62">
        <f t="shared" si="30"/>
        <v>0</v>
      </c>
      <c r="M93" s="62">
        <f t="shared" si="30"/>
        <v>0</v>
      </c>
      <c r="N93" s="62">
        <f t="shared" si="30"/>
        <v>0</v>
      </c>
      <c r="O93" s="62">
        <f t="shared" si="30"/>
        <v>0</v>
      </c>
      <c r="P93" s="62">
        <f t="shared" si="30"/>
        <v>0</v>
      </c>
      <c r="Q93" s="62">
        <f t="shared" si="30"/>
        <v>0</v>
      </c>
      <c r="R93" s="62">
        <f t="shared" si="30"/>
        <v>0</v>
      </c>
      <c r="S93" s="62">
        <f t="shared" si="30"/>
        <v>0</v>
      </c>
      <c r="T93" s="62">
        <f t="shared" si="30"/>
        <v>0</v>
      </c>
      <c r="U93" s="62">
        <f t="shared" si="30"/>
        <v>0</v>
      </c>
      <c r="V93" s="62">
        <f t="shared" si="30"/>
        <v>0</v>
      </c>
      <c r="W93" s="62">
        <f t="shared" si="30"/>
        <v>0</v>
      </c>
      <c r="X93" s="62">
        <f t="shared" si="30"/>
        <v>0</v>
      </c>
      <c r="Y93" s="62">
        <f t="shared" si="30"/>
        <v>0</v>
      </c>
      <c r="Z93" s="62">
        <f t="shared" si="30"/>
        <v>0</v>
      </c>
      <c r="AA93" s="62">
        <f t="shared" si="30"/>
        <v>0</v>
      </c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5" spans="1:40" s="8" customFormat="1" ht="1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7"/>
      <c r="AC95" s="5"/>
      <c r="AG95" s="9"/>
      <c r="AH95" s="9"/>
      <c r="AI95" s="9"/>
      <c r="AJ95" s="9"/>
      <c r="AK95" s="9"/>
      <c r="AL95" s="9"/>
      <c r="AM95" s="9"/>
      <c r="AN95" s="9"/>
    </row>
    <row r="97" spans="1:40" s="8" customFormat="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7"/>
      <c r="AC97" s="64"/>
      <c r="AG97" s="9"/>
      <c r="AH97" s="9"/>
      <c r="AI97" s="9"/>
      <c r="AJ97" s="9"/>
      <c r="AK97" s="9"/>
      <c r="AL97" s="9"/>
      <c r="AM97" s="9"/>
      <c r="AN97" s="9"/>
    </row>
    <row r="176" ht="15">
      <c r="B176" s="7" t="s">
        <v>66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85" zoomScaleNormal="70" zoomScaleSheetLayoutView="85" workbookViewId="0" topLeftCell="B1">
      <pane xSplit="4740" ySplit="2616" topLeftCell="FM6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3" width="8.7109375" style="69" customWidth="1"/>
    <col min="24" max="24" width="8.7109375" style="69" hidden="1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7.25">
      <c r="B3" s="137" t="s">
        <v>70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">
      <c r="B4" s="69" t="s">
        <v>0</v>
      </c>
      <c r="AA4" s="70" t="s">
        <v>1</v>
      </c>
    </row>
    <row r="5" spans="2:27" ht="69">
      <c r="B5" s="74" t="s">
        <v>2</v>
      </c>
      <c r="C5" s="75" t="s">
        <v>3</v>
      </c>
      <c r="D5" s="76">
        <v>1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7">
        <v>11</v>
      </c>
      <c r="K5" s="74">
        <v>12</v>
      </c>
      <c r="L5" s="74">
        <v>13</v>
      </c>
      <c r="M5" s="74">
        <v>14</v>
      </c>
      <c r="N5" s="74">
        <v>15</v>
      </c>
      <c r="O5" s="74">
        <v>18</v>
      </c>
      <c r="P5" s="74">
        <v>19</v>
      </c>
      <c r="Q5" s="74">
        <v>20</v>
      </c>
      <c r="R5" s="74">
        <v>21</v>
      </c>
      <c r="S5" s="74">
        <v>22</v>
      </c>
      <c r="T5" s="74">
        <v>25</v>
      </c>
      <c r="U5" s="74">
        <v>26</v>
      </c>
      <c r="V5" s="77">
        <v>27</v>
      </c>
      <c r="W5" s="74">
        <v>28</v>
      </c>
      <c r="X5" s="77"/>
      <c r="Y5" s="77"/>
      <c r="Z5" s="77"/>
      <c r="AA5" s="76" t="s">
        <v>4</v>
      </c>
    </row>
    <row r="6" spans="2:27" ht="27">
      <c r="B6" s="78" t="s">
        <v>5</v>
      </c>
      <c r="C6" s="79">
        <f>SUM(D6:Y6)</f>
        <v>0</v>
      </c>
      <c r="D6" s="80"/>
      <c r="E6" s="81"/>
      <c r="F6" s="82"/>
      <c r="G6" s="81"/>
      <c r="H6" s="82"/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27" ht="15">
      <c r="B7" s="84" t="s">
        <v>6</v>
      </c>
      <c r="C7" s="79">
        <f>SUM(D7:Y7)</f>
        <v>3600.3</v>
      </c>
      <c r="D7" s="85">
        <v>1800.1</v>
      </c>
      <c r="E7" s="81"/>
      <c r="F7" s="81"/>
      <c r="G7" s="81"/>
      <c r="H7" s="81"/>
      <c r="I7" s="81"/>
      <c r="J7" s="86">
        <v>1800.2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</row>
    <row r="8" spans="2:27" ht="15">
      <c r="B8" s="87" t="s">
        <v>8</v>
      </c>
      <c r="C8" s="88">
        <f aca="true" t="shared" si="0" ref="C8:C16">SUM(D8:Z8)</f>
        <v>18172.4</v>
      </c>
      <c r="D8" s="89">
        <f aca="true" t="shared" si="1" ref="D8:Y8">SUM(D9:D16)</f>
        <v>223.40000000000003</v>
      </c>
      <c r="E8" s="89">
        <f t="shared" si="1"/>
        <v>566.3</v>
      </c>
      <c r="F8" s="89">
        <f t="shared" si="1"/>
        <v>424.79999999999995</v>
      </c>
      <c r="G8" s="89">
        <f t="shared" si="1"/>
        <v>892.5</v>
      </c>
      <c r="H8" s="89">
        <f t="shared" si="1"/>
        <v>2692.6</v>
      </c>
      <c r="I8" s="89">
        <f>SUM(I9:I16)</f>
        <v>720.9000000000001</v>
      </c>
      <c r="J8" s="89">
        <f t="shared" si="1"/>
        <v>378.70000000000005</v>
      </c>
      <c r="K8" s="89">
        <f>SUM(K9:K16)</f>
        <v>481.6</v>
      </c>
      <c r="L8" s="89">
        <f t="shared" si="1"/>
        <v>1162.4</v>
      </c>
      <c r="M8" s="89">
        <f t="shared" si="1"/>
        <v>867.4</v>
      </c>
      <c r="N8" s="89">
        <f t="shared" si="1"/>
        <v>854.6999999999999</v>
      </c>
      <c r="O8" s="89">
        <f t="shared" si="1"/>
        <v>1017.4000000000001</v>
      </c>
      <c r="P8" s="89">
        <f t="shared" si="1"/>
        <v>695.1999999999999</v>
      </c>
      <c r="Q8" s="89">
        <f t="shared" si="1"/>
        <v>692.6999999999999</v>
      </c>
      <c r="R8" s="89">
        <f t="shared" si="1"/>
        <v>1164.3</v>
      </c>
      <c r="S8" s="89">
        <f>SUM(S9:S16)</f>
        <v>851.5999999999998</v>
      </c>
      <c r="T8" s="89">
        <f>SUM(T9:T16)</f>
        <v>1235.1</v>
      </c>
      <c r="U8" s="89">
        <f t="shared" si="1"/>
        <v>992.6</v>
      </c>
      <c r="V8" s="89">
        <f t="shared" si="1"/>
        <v>1402.6</v>
      </c>
      <c r="W8" s="89">
        <f t="shared" si="1"/>
        <v>855.5999999999999</v>
      </c>
      <c r="X8" s="89">
        <f t="shared" si="1"/>
        <v>0</v>
      </c>
      <c r="Y8" s="89">
        <f t="shared" si="1"/>
        <v>0</v>
      </c>
      <c r="Z8" s="89">
        <f>SUM(Z9:Z16)</f>
        <v>0</v>
      </c>
      <c r="AA8" s="89" t="s">
        <v>7</v>
      </c>
    </row>
    <row r="9" spans="2:40" s="94" customFormat="1" ht="15">
      <c r="B9" s="27" t="s">
        <v>9</v>
      </c>
      <c r="C9" s="90">
        <f t="shared" si="0"/>
        <v>10615.300000000001</v>
      </c>
      <c r="D9" s="91">
        <v>154</v>
      </c>
      <c r="E9" s="86">
        <v>442.4</v>
      </c>
      <c r="F9" s="86">
        <v>93.7</v>
      </c>
      <c r="G9" s="86">
        <v>649.7</v>
      </c>
      <c r="H9" s="86">
        <v>2512.4</v>
      </c>
      <c r="I9" s="86">
        <v>505.1</v>
      </c>
      <c r="J9" s="86">
        <v>224.6</v>
      </c>
      <c r="K9" s="86">
        <v>201</v>
      </c>
      <c r="L9" s="86">
        <v>665.4</v>
      </c>
      <c r="M9" s="86">
        <v>368.3</v>
      </c>
      <c r="N9" s="86">
        <v>274.7</v>
      </c>
      <c r="O9" s="86">
        <v>260.1</v>
      </c>
      <c r="P9" s="86">
        <v>115.6</v>
      </c>
      <c r="Q9" s="86">
        <v>614</v>
      </c>
      <c r="R9" s="92">
        <v>875.1</v>
      </c>
      <c r="S9" s="92">
        <v>568.8</v>
      </c>
      <c r="T9" s="86">
        <v>686.4</v>
      </c>
      <c r="U9" s="92">
        <v>476.5</v>
      </c>
      <c r="V9" s="86">
        <v>440.6</v>
      </c>
      <c r="W9" s="86">
        <v>486.9</v>
      </c>
      <c r="X9" s="86"/>
      <c r="Y9" s="86"/>
      <c r="Z9" s="86"/>
      <c r="AA9" s="91"/>
      <c r="AB9" s="93"/>
      <c r="AD9" s="95"/>
      <c r="AE9" s="96"/>
      <c r="AF9" s="96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6"/>
      <c r="AE10" s="96"/>
      <c r="AF10" s="96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291.80000000000007</v>
      </c>
      <c r="D11" s="91"/>
      <c r="E11" s="86">
        <v>0.3</v>
      </c>
      <c r="F11" s="86">
        <v>0.4</v>
      </c>
      <c r="G11" s="86">
        <v>27.4</v>
      </c>
      <c r="H11" s="86">
        <v>0.7</v>
      </c>
      <c r="I11" s="86"/>
      <c r="J11" s="86">
        <v>2.5</v>
      </c>
      <c r="K11" s="86"/>
      <c r="L11" s="86">
        <v>3.2</v>
      </c>
      <c r="M11" s="86">
        <v>2.3</v>
      </c>
      <c r="N11" s="86">
        <v>3.9</v>
      </c>
      <c r="O11" s="86">
        <v>8.5</v>
      </c>
      <c r="P11" s="86">
        <v>5</v>
      </c>
      <c r="Q11" s="86">
        <v>0.7</v>
      </c>
      <c r="R11" s="92">
        <v>13.5</v>
      </c>
      <c r="S11" s="92">
        <v>2.9</v>
      </c>
      <c r="T11" s="86">
        <v>72.4</v>
      </c>
      <c r="U11" s="92">
        <v>38.5</v>
      </c>
      <c r="V11" s="86">
        <v>109</v>
      </c>
      <c r="W11" s="86">
        <v>0.6</v>
      </c>
      <c r="X11" s="86"/>
      <c r="Y11" s="86"/>
      <c r="Z11" s="86"/>
      <c r="AA11" s="91"/>
      <c r="AB11" s="93"/>
      <c r="AD11" s="96"/>
      <c r="AE11" s="96"/>
      <c r="AF11" s="96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">
      <c r="B12" s="27" t="s">
        <v>12</v>
      </c>
      <c r="C12" s="90">
        <f t="shared" si="0"/>
        <v>205.00000000000003</v>
      </c>
      <c r="D12" s="91"/>
      <c r="E12" s="86">
        <v>0.8</v>
      </c>
      <c r="F12" s="86">
        <v>2.7</v>
      </c>
      <c r="G12" s="86"/>
      <c r="H12" s="86"/>
      <c r="I12" s="86">
        <v>0.5</v>
      </c>
      <c r="J12" s="86"/>
      <c r="K12" s="86">
        <v>29.8</v>
      </c>
      <c r="L12" s="86">
        <v>9.7</v>
      </c>
      <c r="M12" s="86"/>
      <c r="N12" s="86"/>
      <c r="O12" s="86"/>
      <c r="P12" s="86">
        <v>0.5</v>
      </c>
      <c r="Q12" s="86">
        <v>5.4</v>
      </c>
      <c r="R12" s="92">
        <v>5.1</v>
      </c>
      <c r="S12" s="92">
        <v>92.3</v>
      </c>
      <c r="T12" s="86">
        <v>18.3</v>
      </c>
      <c r="U12" s="92">
        <v>10</v>
      </c>
      <c r="V12" s="86">
        <v>12.5</v>
      </c>
      <c r="W12" s="86">
        <v>17.4</v>
      </c>
      <c r="X12" s="86"/>
      <c r="Y12" s="86"/>
      <c r="Z12" s="86"/>
      <c r="AA12" s="91"/>
      <c r="AB12" s="93"/>
      <c r="AD12" s="95"/>
      <c r="AE12" s="96"/>
      <c r="AF12" s="96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">
      <c r="B13" s="27" t="s">
        <v>13</v>
      </c>
      <c r="C13" s="90">
        <f t="shared" si="0"/>
        <v>2713.0000000000005</v>
      </c>
      <c r="D13" s="91">
        <v>11.3</v>
      </c>
      <c r="E13" s="86">
        <v>7.9</v>
      </c>
      <c r="F13" s="86">
        <v>16.6</v>
      </c>
      <c r="G13" s="86">
        <v>35.6</v>
      </c>
      <c r="H13" s="86">
        <v>23</v>
      </c>
      <c r="I13" s="86">
        <v>13.9</v>
      </c>
      <c r="J13" s="86">
        <v>3.8</v>
      </c>
      <c r="K13" s="86">
        <v>38.3</v>
      </c>
      <c r="L13" s="86">
        <v>22.3</v>
      </c>
      <c r="M13" s="86">
        <v>24.7</v>
      </c>
      <c r="N13" s="86">
        <v>42.9</v>
      </c>
      <c r="O13" s="86">
        <v>44.4</v>
      </c>
      <c r="P13" s="86">
        <v>157.3</v>
      </c>
      <c r="Q13" s="86">
        <v>12.6</v>
      </c>
      <c r="R13" s="92">
        <v>201.2</v>
      </c>
      <c r="S13" s="92">
        <v>139.2</v>
      </c>
      <c r="T13" s="86">
        <v>429.3</v>
      </c>
      <c r="U13" s="92">
        <v>393.6</v>
      </c>
      <c r="V13" s="86">
        <v>791.2</v>
      </c>
      <c r="W13" s="86">
        <v>303.9</v>
      </c>
      <c r="X13" s="86"/>
      <c r="Y13" s="86"/>
      <c r="Z13" s="86"/>
      <c r="AA13" s="91"/>
      <c r="AB13" s="93"/>
      <c r="AD13" s="95"/>
      <c r="AE13" s="96"/>
      <c r="AF13" s="96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">
      <c r="B14" s="27" t="s">
        <v>14</v>
      </c>
      <c r="C14" s="90">
        <f t="shared" si="0"/>
        <v>3730.1</v>
      </c>
      <c r="D14" s="91">
        <v>41.8</v>
      </c>
      <c r="E14" s="86">
        <v>97.6</v>
      </c>
      <c r="F14" s="86">
        <v>301</v>
      </c>
      <c r="G14" s="86">
        <v>150</v>
      </c>
      <c r="H14" s="86">
        <v>139.8</v>
      </c>
      <c r="I14" s="86">
        <v>189.7</v>
      </c>
      <c r="J14" s="86">
        <v>124.6</v>
      </c>
      <c r="K14" s="86">
        <v>188.7</v>
      </c>
      <c r="L14" s="86">
        <v>442.1</v>
      </c>
      <c r="M14" s="86">
        <v>400.7</v>
      </c>
      <c r="N14" s="86">
        <v>428.9</v>
      </c>
      <c r="O14" s="86">
        <v>668.5</v>
      </c>
      <c r="P14" s="86">
        <v>386.6</v>
      </c>
      <c r="Q14" s="86">
        <v>38.3</v>
      </c>
      <c r="R14" s="92">
        <v>52.6</v>
      </c>
      <c r="S14" s="92">
        <v>18.4</v>
      </c>
      <c r="T14" s="86">
        <v>11.6</v>
      </c>
      <c r="U14" s="92">
        <v>24.9</v>
      </c>
      <c r="V14" s="86">
        <v>11.6</v>
      </c>
      <c r="W14" s="86">
        <v>12.7</v>
      </c>
      <c r="X14" s="86"/>
      <c r="Y14" s="86"/>
      <c r="Z14" s="86"/>
      <c r="AA14" s="91"/>
      <c r="AB14" s="93"/>
      <c r="AD14" s="95"/>
      <c r="AE14" s="96"/>
      <c r="AF14" s="96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231.70000000000002</v>
      </c>
      <c r="D15" s="91">
        <v>9.5</v>
      </c>
      <c r="E15" s="86">
        <v>8.9</v>
      </c>
      <c r="F15" s="86">
        <v>4</v>
      </c>
      <c r="G15" s="86">
        <v>20.8</v>
      </c>
      <c r="H15" s="86">
        <v>12.1</v>
      </c>
      <c r="I15" s="86">
        <v>8</v>
      </c>
      <c r="J15" s="86">
        <v>12.1</v>
      </c>
      <c r="K15" s="86">
        <v>10</v>
      </c>
      <c r="L15" s="86">
        <v>10</v>
      </c>
      <c r="M15" s="86">
        <v>11.3</v>
      </c>
      <c r="N15" s="86">
        <v>11.6</v>
      </c>
      <c r="O15" s="86">
        <v>12.7</v>
      </c>
      <c r="P15" s="86">
        <v>13.8</v>
      </c>
      <c r="Q15" s="86">
        <v>17.3</v>
      </c>
      <c r="R15" s="92">
        <v>12.2</v>
      </c>
      <c r="S15" s="92">
        <v>11.7</v>
      </c>
      <c r="T15" s="86">
        <v>12.4</v>
      </c>
      <c r="U15" s="92">
        <v>7.4</v>
      </c>
      <c r="V15" s="86">
        <v>15.1</v>
      </c>
      <c r="W15" s="86">
        <v>10.8</v>
      </c>
      <c r="X15" s="86"/>
      <c r="Y15" s="86"/>
      <c r="Z15" s="86"/>
      <c r="AA15" s="91"/>
      <c r="AB15" s="93"/>
      <c r="AD15" s="95"/>
      <c r="AE15" s="96"/>
      <c r="AF15" s="96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385.5</v>
      </c>
      <c r="D16" s="91">
        <v>6.8</v>
      </c>
      <c r="E16" s="86">
        <v>8.4</v>
      </c>
      <c r="F16" s="86">
        <v>6.4</v>
      </c>
      <c r="G16" s="86">
        <v>9</v>
      </c>
      <c r="H16" s="86">
        <v>4.6</v>
      </c>
      <c r="I16" s="86">
        <v>3.7</v>
      </c>
      <c r="J16" s="86">
        <v>11.1</v>
      </c>
      <c r="K16" s="86">
        <v>13.8</v>
      </c>
      <c r="L16" s="86">
        <v>9.7</v>
      </c>
      <c r="M16" s="86">
        <v>60.1</v>
      </c>
      <c r="N16" s="86">
        <v>92.7</v>
      </c>
      <c r="O16" s="86">
        <v>23.2</v>
      </c>
      <c r="P16" s="86">
        <v>16.4</v>
      </c>
      <c r="Q16" s="86">
        <v>4.4</v>
      </c>
      <c r="R16" s="92">
        <v>4.6</v>
      </c>
      <c r="S16" s="92">
        <v>18.3</v>
      </c>
      <c r="T16" s="86">
        <v>4.7</v>
      </c>
      <c r="U16" s="92">
        <v>41.7</v>
      </c>
      <c r="V16" s="86">
        <v>22.6</v>
      </c>
      <c r="W16" s="86">
        <v>23.3</v>
      </c>
      <c r="X16" s="92"/>
      <c r="Y16" s="86"/>
      <c r="Z16" s="86"/>
      <c r="AA16" s="91"/>
      <c r="AB16" s="98"/>
      <c r="AD16" s="95"/>
      <c r="AE16" s="96"/>
      <c r="AF16" s="96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21772.699999999993</v>
      </c>
      <c r="D17" s="101">
        <f>SUM(D6:D8)</f>
        <v>2023.5</v>
      </c>
      <c r="E17" s="101">
        <f aca="true" t="shared" si="2" ref="E17:Y17">SUM(E6:E8)</f>
        <v>566.3</v>
      </c>
      <c r="F17" s="101">
        <f t="shared" si="2"/>
        <v>424.79999999999995</v>
      </c>
      <c r="G17" s="101">
        <f t="shared" si="2"/>
        <v>892.5</v>
      </c>
      <c r="H17" s="101">
        <f t="shared" si="2"/>
        <v>2692.6</v>
      </c>
      <c r="I17" s="101">
        <f t="shared" si="2"/>
        <v>720.9000000000001</v>
      </c>
      <c r="J17" s="101">
        <f t="shared" si="2"/>
        <v>2178.9</v>
      </c>
      <c r="K17" s="101">
        <f t="shared" si="2"/>
        <v>481.6</v>
      </c>
      <c r="L17" s="101">
        <f t="shared" si="2"/>
        <v>1162.4</v>
      </c>
      <c r="M17" s="101">
        <f>SUM(M6:M8)</f>
        <v>867.4</v>
      </c>
      <c r="N17" s="101">
        <f t="shared" si="2"/>
        <v>854.6999999999999</v>
      </c>
      <c r="O17" s="101">
        <f t="shared" si="2"/>
        <v>1017.4000000000001</v>
      </c>
      <c r="P17" s="101">
        <f t="shared" si="2"/>
        <v>695.1999999999999</v>
      </c>
      <c r="Q17" s="101">
        <f t="shared" si="2"/>
        <v>692.6999999999999</v>
      </c>
      <c r="R17" s="101">
        <f t="shared" si="2"/>
        <v>1164.3</v>
      </c>
      <c r="S17" s="101">
        <f t="shared" si="2"/>
        <v>851.5999999999998</v>
      </c>
      <c r="T17" s="101">
        <f>SUM(T6:T8)</f>
        <v>1235.1</v>
      </c>
      <c r="U17" s="101">
        <f t="shared" si="2"/>
        <v>992.6</v>
      </c>
      <c r="V17" s="101">
        <f t="shared" si="2"/>
        <v>1402.6</v>
      </c>
      <c r="W17" s="101">
        <f t="shared" si="2"/>
        <v>855.5999999999999</v>
      </c>
      <c r="X17" s="101">
        <f t="shared" si="2"/>
        <v>0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7"/>
      <c r="AE17" s="67"/>
      <c r="AF17" s="67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">
      <c r="B18" s="102" t="s">
        <v>18</v>
      </c>
      <c r="C18" s="103">
        <f>C19+C23+C29+C32+C33+C34+C35+C41+C45+C49+C52+C57+C63+C70+C74+C75+C76+C77+C31+C66+C73</f>
        <v>28625.845999999994</v>
      </c>
      <c r="D18" s="103">
        <f aca="true" t="shared" si="3" ref="D18:AA18">D19+D23+D29+D32+D33+D34+D35+D41+D45+D49+D52+D57+D63+D70+D74+D75+D76+D77+D31+D66+D73</f>
        <v>0</v>
      </c>
      <c r="E18" s="103">
        <f t="shared" si="3"/>
        <v>1231.95</v>
      </c>
      <c r="F18" s="103">
        <f t="shared" si="3"/>
        <v>557.176</v>
      </c>
      <c r="G18" s="103">
        <f t="shared" si="3"/>
        <v>810.696</v>
      </c>
      <c r="H18" s="103">
        <f t="shared" si="3"/>
        <v>215.77200000000002</v>
      </c>
      <c r="I18" s="103">
        <f t="shared" si="3"/>
        <v>942.0870000000001</v>
      </c>
      <c r="J18" s="103">
        <f t="shared" si="3"/>
        <v>462.24500000000006</v>
      </c>
      <c r="K18" s="103">
        <f t="shared" si="3"/>
        <v>4471.869</v>
      </c>
      <c r="L18" s="103">
        <f t="shared" si="3"/>
        <v>1393.6200000000001</v>
      </c>
      <c r="M18" s="103">
        <f t="shared" si="3"/>
        <v>984.4670000000001</v>
      </c>
      <c r="N18" s="103">
        <f t="shared" si="3"/>
        <v>7.884</v>
      </c>
      <c r="O18" s="103">
        <f t="shared" si="3"/>
        <v>313.611</v>
      </c>
      <c r="P18" s="103">
        <f t="shared" si="3"/>
        <v>575.432</v>
      </c>
      <c r="Q18" s="103">
        <f t="shared" si="3"/>
        <v>601.136</v>
      </c>
      <c r="R18" s="103">
        <f t="shared" si="3"/>
        <v>1493.3070000000002</v>
      </c>
      <c r="S18" s="103">
        <f t="shared" si="3"/>
        <v>3310.1060000000007</v>
      </c>
      <c r="T18" s="103">
        <f t="shared" si="3"/>
        <v>3395.1140000000005</v>
      </c>
      <c r="U18" s="103">
        <f t="shared" si="3"/>
        <v>12.963000000000001</v>
      </c>
      <c r="V18" s="103">
        <f t="shared" si="3"/>
        <v>0</v>
      </c>
      <c r="W18" s="103">
        <f t="shared" si="3"/>
        <v>0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20779.435000000005</v>
      </c>
      <c r="AB18" s="104">
        <f aca="true" t="shared" si="4" ref="AB18:AB70">AA18-C18</f>
        <v>-7846.410999999989</v>
      </c>
      <c r="AD18" s="67"/>
      <c r="AE18" s="67"/>
      <c r="AF18" s="67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">
      <c r="A19" s="66">
        <v>10116</v>
      </c>
      <c r="B19" s="105" t="s">
        <v>19</v>
      </c>
      <c r="C19" s="106">
        <f aca="true" t="shared" si="5" ref="C19:AA19">SUM(C20:C22)</f>
        <v>3800.6890000000003</v>
      </c>
      <c r="D19" s="106">
        <f t="shared" si="5"/>
        <v>0</v>
      </c>
      <c r="E19" s="106">
        <f t="shared" si="5"/>
        <v>0</v>
      </c>
      <c r="F19" s="106">
        <f t="shared" si="5"/>
        <v>21.618000000000002</v>
      </c>
      <c r="G19" s="106">
        <f t="shared" si="5"/>
        <v>6.021</v>
      </c>
      <c r="H19" s="106">
        <f t="shared" si="5"/>
        <v>33.529</v>
      </c>
      <c r="I19" s="106">
        <f t="shared" si="5"/>
        <v>34.635</v>
      </c>
      <c r="J19" s="106">
        <f t="shared" si="5"/>
        <v>182.074</v>
      </c>
      <c r="K19" s="106">
        <f t="shared" si="5"/>
        <v>898.0640000000001</v>
      </c>
      <c r="L19" s="106">
        <f t="shared" si="5"/>
        <v>16.531</v>
      </c>
      <c r="M19" s="106">
        <f t="shared" si="5"/>
        <v>72.188</v>
      </c>
      <c r="N19" s="106">
        <f t="shared" si="5"/>
        <v>0.357</v>
      </c>
      <c r="O19" s="106">
        <f t="shared" si="5"/>
        <v>5.42</v>
      </c>
      <c r="P19" s="106">
        <f t="shared" si="5"/>
        <v>47.629000000000005</v>
      </c>
      <c r="Q19" s="106">
        <f t="shared" si="5"/>
        <v>4.092</v>
      </c>
      <c r="R19" s="106">
        <f t="shared" si="5"/>
        <v>103.93</v>
      </c>
      <c r="S19" s="106">
        <f t="shared" si="5"/>
        <v>781.3489999999999</v>
      </c>
      <c r="T19" s="106">
        <f>SUM(T20:T22)</f>
        <v>590.3439999999999</v>
      </c>
      <c r="U19" s="106">
        <f t="shared" si="5"/>
        <v>1.62</v>
      </c>
      <c r="V19" s="106">
        <f t="shared" si="5"/>
        <v>0</v>
      </c>
      <c r="W19" s="106">
        <f t="shared" si="5"/>
        <v>0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2799.4009999999994</v>
      </c>
      <c r="AB19" s="104">
        <f t="shared" si="4"/>
        <v>-1001.2880000000009</v>
      </c>
      <c r="AD19" s="72"/>
      <c r="AE19" s="67"/>
      <c r="AF19" s="67"/>
      <c r="AG19" s="68"/>
      <c r="AH19" s="68"/>
      <c r="AI19" s="68"/>
      <c r="AJ19" s="68"/>
      <c r="AK19" s="68"/>
      <c r="AL19" s="68"/>
      <c r="AM19" s="68"/>
      <c r="AN19" s="68"/>
    </row>
    <row r="20" spans="2:31" ht="15">
      <c r="B20" s="107" t="s">
        <v>20</v>
      </c>
      <c r="C20" s="108">
        <f>2819.264+5.3-6+32.8+0.1</f>
        <v>2851.4640000000004</v>
      </c>
      <c r="D20" s="81"/>
      <c r="E20" s="81"/>
      <c r="F20" s="81"/>
      <c r="G20" s="81"/>
      <c r="H20" s="81"/>
      <c r="I20" s="81">
        <v>27.7</v>
      </c>
      <c r="J20" s="86">
        <v>99.545</v>
      </c>
      <c r="K20" s="81">
        <v>841.659</v>
      </c>
      <c r="L20" s="81">
        <v>13.91</v>
      </c>
      <c r="M20" s="81"/>
      <c r="N20" s="81"/>
      <c r="O20" s="81"/>
      <c r="P20" s="81"/>
      <c r="Q20" s="81"/>
      <c r="R20" s="81">
        <v>102.374</v>
      </c>
      <c r="S20" s="81">
        <v>755.016</v>
      </c>
      <c r="T20" s="81">
        <f>453.65+74.728+7.059</f>
        <v>535.4369999999999</v>
      </c>
      <c r="U20" s="81"/>
      <c r="V20" s="86"/>
      <c r="W20" s="86"/>
      <c r="X20" s="86"/>
      <c r="Y20" s="81"/>
      <c r="Z20" s="81"/>
      <c r="AA20" s="81">
        <f>SUM(D20:Z20)</f>
        <v>2375.6409999999996</v>
      </c>
      <c r="AB20" s="104">
        <f t="shared" si="4"/>
        <v>-475.8230000000008</v>
      </c>
      <c r="AD20" s="67" t="s">
        <v>21</v>
      </c>
      <c r="AE20" s="109">
        <f>AA19</f>
        <v>2799.4009999999994</v>
      </c>
    </row>
    <row r="21" spans="2:31" ht="15">
      <c r="B21" s="107" t="s">
        <v>22</v>
      </c>
      <c r="C21" s="108">
        <v>522.31</v>
      </c>
      <c r="D21" s="81"/>
      <c r="E21" s="81"/>
      <c r="F21" s="81">
        <v>15.146</v>
      </c>
      <c r="G21" s="81"/>
      <c r="H21" s="81">
        <v>4.089</v>
      </c>
      <c r="I21" s="81"/>
      <c r="J21" s="86">
        <v>43.504</v>
      </c>
      <c r="K21" s="81">
        <v>53.426</v>
      </c>
      <c r="L21" s="81">
        <v>2.621</v>
      </c>
      <c r="M21" s="81">
        <v>37.661</v>
      </c>
      <c r="N21" s="81"/>
      <c r="O21" s="81">
        <v>0.045</v>
      </c>
      <c r="P21" s="81">
        <v>0.478</v>
      </c>
      <c r="Q21" s="81">
        <v>4.092</v>
      </c>
      <c r="R21" s="81">
        <v>1.436</v>
      </c>
      <c r="S21" s="81">
        <v>15.153</v>
      </c>
      <c r="T21" s="81"/>
      <c r="U21" s="81"/>
      <c r="V21" s="86"/>
      <c r="W21" s="86"/>
      <c r="X21" s="86"/>
      <c r="Y21" s="81"/>
      <c r="Z21" s="81"/>
      <c r="AA21" s="81">
        <f>SUM(D21:Z21)</f>
        <v>177.651</v>
      </c>
      <c r="AB21" s="104">
        <f t="shared" si="4"/>
        <v>-344.65899999999993</v>
      </c>
      <c r="AD21" s="67" t="s">
        <v>23</v>
      </c>
      <c r="AE21" s="109">
        <f>AA23</f>
        <v>10953.262000000002</v>
      </c>
    </row>
    <row r="22" spans="2:31" ht="15">
      <c r="B22" s="107" t="s">
        <v>24</v>
      </c>
      <c r="C22" s="108">
        <f>426.505+0.41</f>
        <v>426.915</v>
      </c>
      <c r="D22" s="81"/>
      <c r="E22" s="81"/>
      <c r="F22" s="81">
        <v>6.472</v>
      </c>
      <c r="G22" s="81">
        <v>6.021</v>
      </c>
      <c r="H22" s="81">
        <v>29.44</v>
      </c>
      <c r="I22" s="81">
        <f>8.266-1.331</f>
        <v>6.9350000000000005</v>
      </c>
      <c r="J22" s="81">
        <v>39.025</v>
      </c>
      <c r="K22" s="81">
        <v>2.979</v>
      </c>
      <c r="L22" s="81"/>
      <c r="M22" s="81">
        <v>34.527</v>
      </c>
      <c r="N22" s="81">
        <v>0.357</v>
      </c>
      <c r="O22" s="81">
        <v>5.375</v>
      </c>
      <c r="P22" s="81">
        <v>47.151</v>
      </c>
      <c r="Q22" s="81"/>
      <c r="R22" s="81">
        <v>0.12</v>
      </c>
      <c r="S22" s="81">
        <f>10.399+0.781</f>
        <v>11.18</v>
      </c>
      <c r="T22" s="81">
        <v>54.907</v>
      </c>
      <c r="U22" s="81">
        <v>1.62</v>
      </c>
      <c r="V22" s="81"/>
      <c r="W22" s="81"/>
      <c r="X22" s="81"/>
      <c r="Y22" s="81"/>
      <c r="Z22" s="81"/>
      <c r="AA22" s="81">
        <f>SUM(D22:Z22)</f>
        <v>246.10900000000004</v>
      </c>
      <c r="AB22" s="104">
        <f t="shared" si="4"/>
        <v>-180.80599999999998</v>
      </c>
      <c r="AD22" s="67" t="s">
        <v>25</v>
      </c>
      <c r="AE22" s="109">
        <f>$AA$29+$AA$31</f>
        <v>156.352</v>
      </c>
    </row>
    <row r="23" spans="1:40" s="66" customFormat="1" ht="15">
      <c r="A23" s="66">
        <v>7000</v>
      </c>
      <c r="B23" s="105" t="s">
        <v>26</v>
      </c>
      <c r="C23" s="106">
        <f aca="true" t="shared" si="6" ref="C23:AA23">SUM(C24:C28)</f>
        <v>15362.964</v>
      </c>
      <c r="D23" s="106">
        <f t="shared" si="6"/>
        <v>0</v>
      </c>
      <c r="E23" s="106">
        <f t="shared" si="6"/>
        <v>0</v>
      </c>
      <c r="F23" s="106">
        <f t="shared" si="6"/>
        <v>358.64000000000004</v>
      </c>
      <c r="G23" s="106">
        <f t="shared" si="6"/>
        <v>64.373</v>
      </c>
      <c r="H23" s="106">
        <f t="shared" si="6"/>
        <v>72.944</v>
      </c>
      <c r="I23" s="106">
        <f t="shared" si="6"/>
        <v>729.24</v>
      </c>
      <c r="J23" s="106">
        <f t="shared" si="6"/>
        <v>246.53100000000003</v>
      </c>
      <c r="K23" s="106">
        <f t="shared" si="6"/>
        <v>3348.143</v>
      </c>
      <c r="L23" s="106">
        <f t="shared" si="6"/>
        <v>0</v>
      </c>
      <c r="M23" s="106">
        <f t="shared" si="6"/>
        <v>680.754</v>
      </c>
      <c r="N23" s="106">
        <f t="shared" si="6"/>
        <v>1.843</v>
      </c>
      <c r="O23" s="106">
        <f t="shared" si="6"/>
        <v>135.26600000000002</v>
      </c>
      <c r="P23" s="106">
        <f t="shared" si="6"/>
        <v>0</v>
      </c>
      <c r="Q23" s="106">
        <f t="shared" si="6"/>
        <v>242.23299999999998</v>
      </c>
      <c r="R23" s="106">
        <f t="shared" si="6"/>
        <v>1302.7430000000002</v>
      </c>
      <c r="S23" s="106">
        <f t="shared" si="6"/>
        <v>1681.0420000000004</v>
      </c>
      <c r="T23" s="106">
        <f>SUM(T24:T28)</f>
        <v>2089.51</v>
      </c>
      <c r="U23" s="106">
        <f>SUM(U24:U28)</f>
        <v>0</v>
      </c>
      <c r="V23" s="106">
        <f t="shared" si="6"/>
        <v>0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10953.262000000002</v>
      </c>
      <c r="AB23" s="104">
        <f t="shared" si="4"/>
        <v>-4409.7019999999975</v>
      </c>
      <c r="AD23" s="67" t="s">
        <v>27</v>
      </c>
      <c r="AE23" s="109">
        <f>$AA$32+$AA$33+$AA$35+$AA$41+$AA$45+$AA$34</f>
        <v>1204.264</v>
      </c>
      <c r="AF23" s="67"/>
      <c r="AG23" s="68"/>
      <c r="AH23" s="68"/>
      <c r="AI23" s="68"/>
      <c r="AJ23" s="68"/>
      <c r="AK23" s="68"/>
      <c r="AL23" s="68"/>
      <c r="AM23" s="68"/>
      <c r="AN23" s="68"/>
    </row>
    <row r="24" spans="2:31" ht="15">
      <c r="B24" s="107" t="s">
        <v>20</v>
      </c>
      <c r="C24" s="108">
        <f>9488.891-32.8</f>
        <v>9456.091</v>
      </c>
      <c r="D24" s="81"/>
      <c r="E24" s="81"/>
      <c r="F24" s="81"/>
      <c r="G24" s="81">
        <v>2.302</v>
      </c>
      <c r="H24" s="81">
        <v>4.055</v>
      </c>
      <c r="I24" s="81">
        <f>195.017+370.636+0.717</f>
        <v>566.37</v>
      </c>
      <c r="J24" s="86">
        <f>117.408</f>
        <v>117.408</v>
      </c>
      <c r="K24" s="81">
        <f>1500.373+1214.558+7.9</f>
        <v>2722.831</v>
      </c>
      <c r="L24" s="81"/>
      <c r="M24" s="81"/>
      <c r="N24" s="81"/>
      <c r="O24" s="81"/>
      <c r="P24" s="81"/>
      <c r="Q24" s="81">
        <v>153.529</v>
      </c>
      <c r="R24" s="110">
        <f>446.297+499.016</f>
        <v>945.3130000000001</v>
      </c>
      <c r="S24" s="81">
        <f>992.442+538.594+15.16+2.948</f>
        <v>1549.1440000000002</v>
      </c>
      <c r="T24" s="81">
        <f>956.372+953.539</f>
        <v>1909.911</v>
      </c>
      <c r="U24" s="81"/>
      <c r="V24" s="86"/>
      <c r="W24" s="86"/>
      <c r="X24" s="86"/>
      <c r="Y24" s="81"/>
      <c r="Z24" s="81"/>
      <c r="AA24" s="81">
        <f>SUM(D24:Z24)</f>
        <v>7970.863000000001</v>
      </c>
      <c r="AB24" s="104">
        <f t="shared" si="4"/>
        <v>-1485.2279999999992</v>
      </c>
      <c r="AD24" s="67" t="s">
        <v>28</v>
      </c>
      <c r="AE24" s="109">
        <f>$AA$63+$AA$66</f>
        <v>1284.461</v>
      </c>
    </row>
    <row r="25" spans="2:31" ht="15">
      <c r="B25" s="107" t="s">
        <v>29</v>
      </c>
      <c r="C25" s="108">
        <v>9.7</v>
      </c>
      <c r="D25" s="81"/>
      <c r="E25" s="81"/>
      <c r="F25" s="81"/>
      <c r="G25" s="81"/>
      <c r="H25" s="81"/>
      <c r="I25" s="81"/>
      <c r="J25" s="86"/>
      <c r="K25" s="81"/>
      <c r="L25" s="81"/>
      <c r="M25" s="81"/>
      <c r="N25" s="81"/>
      <c r="O25" s="81"/>
      <c r="P25" s="81"/>
      <c r="Q25" s="81"/>
      <c r="R25" s="110"/>
      <c r="S25" s="81"/>
      <c r="T25" s="81">
        <v>2.099</v>
      </c>
      <c r="U25" s="81"/>
      <c r="V25" s="86"/>
      <c r="W25" s="86"/>
      <c r="X25" s="86"/>
      <c r="Y25" s="81"/>
      <c r="Z25" s="81"/>
      <c r="AA25" s="81">
        <f>SUM(D25:Z25)</f>
        <v>2.099</v>
      </c>
      <c r="AB25" s="104">
        <f t="shared" si="4"/>
        <v>-7.600999999999999</v>
      </c>
      <c r="AD25" s="67" t="s">
        <v>30</v>
      </c>
      <c r="AE25" s="109">
        <f>$AA$52</f>
        <v>589.0880000000001</v>
      </c>
    </row>
    <row r="26" spans="2:31" ht="15">
      <c r="B26" s="107" t="s">
        <v>31</v>
      </c>
      <c r="C26" s="108">
        <v>853.531</v>
      </c>
      <c r="D26" s="81"/>
      <c r="E26" s="81"/>
      <c r="F26" s="81">
        <v>21.651</v>
      </c>
      <c r="G26" s="81">
        <v>34.968</v>
      </c>
      <c r="H26" s="81">
        <v>27.49</v>
      </c>
      <c r="I26" s="81">
        <v>75.629</v>
      </c>
      <c r="J26" s="86">
        <v>26.915</v>
      </c>
      <c r="K26" s="81">
        <v>88.781</v>
      </c>
      <c r="L26" s="81"/>
      <c r="M26" s="81">
        <v>70.927</v>
      </c>
      <c r="N26" s="81"/>
      <c r="O26" s="81">
        <v>16.704</v>
      </c>
      <c r="P26" s="81"/>
      <c r="Q26" s="81">
        <v>46.64</v>
      </c>
      <c r="R26" s="110">
        <v>114.094</v>
      </c>
      <c r="S26" s="81">
        <v>45.5</v>
      </c>
      <c r="T26" s="81">
        <v>94.803</v>
      </c>
      <c r="U26" s="81"/>
      <c r="V26" s="86"/>
      <c r="W26" s="86"/>
      <c r="X26" s="86"/>
      <c r="Y26" s="81"/>
      <c r="Z26" s="81"/>
      <c r="AA26" s="81">
        <f>SUM(D26:Z26)</f>
        <v>664.102</v>
      </c>
      <c r="AB26" s="104">
        <f t="shared" si="4"/>
        <v>-189.42899999999997</v>
      </c>
      <c r="AD26" s="67" t="s">
        <v>32</v>
      </c>
      <c r="AE26" s="109">
        <f>$AA$57</f>
        <v>399.493</v>
      </c>
    </row>
    <row r="27" spans="2:31" ht="15">
      <c r="B27" s="107" t="s">
        <v>22</v>
      </c>
      <c r="C27" s="108">
        <v>4376.65</v>
      </c>
      <c r="D27" s="81"/>
      <c r="E27" s="81"/>
      <c r="F27" s="81">
        <v>324.341</v>
      </c>
      <c r="G27" s="81">
        <v>17.492</v>
      </c>
      <c r="H27" s="81">
        <v>21.893</v>
      </c>
      <c r="I27" s="81">
        <v>61.153</v>
      </c>
      <c r="J27" s="86">
        <v>98.075</v>
      </c>
      <c r="K27" s="81">
        <v>496.499</v>
      </c>
      <c r="L27" s="81"/>
      <c r="M27" s="81">
        <v>584.345</v>
      </c>
      <c r="N27" s="81"/>
      <c r="O27" s="81">
        <v>114.055</v>
      </c>
      <c r="P27" s="81"/>
      <c r="Q27" s="81">
        <v>39.499</v>
      </c>
      <c r="R27" s="110">
        <v>238.073</v>
      </c>
      <c r="S27" s="81">
        <v>84.353</v>
      </c>
      <c r="T27" s="81">
        <v>39.717</v>
      </c>
      <c r="U27" s="81"/>
      <c r="V27" s="86"/>
      <c r="W27" s="86"/>
      <c r="X27" s="86"/>
      <c r="Y27" s="81"/>
      <c r="Z27" s="81"/>
      <c r="AA27" s="81">
        <f>SUM(D27:Z27)</f>
        <v>2119.4950000000003</v>
      </c>
      <c r="AB27" s="104">
        <f t="shared" si="4"/>
        <v>-2257.1549999999993</v>
      </c>
      <c r="AD27" s="67" t="s">
        <v>33</v>
      </c>
      <c r="AE27" s="109">
        <f>$AA$49+$AA$70+$AA$74+$AA$75+$AA$77+$AA$76+$AA$72</f>
        <v>3357.2960000000003</v>
      </c>
    </row>
    <row r="28" spans="2:31" ht="15">
      <c r="B28" s="107" t="s">
        <v>24</v>
      </c>
      <c r="C28" s="108">
        <v>666.992</v>
      </c>
      <c r="D28" s="81"/>
      <c r="E28" s="81"/>
      <c r="F28" s="81">
        <v>12.648</v>
      </c>
      <c r="G28" s="81">
        <f>7.801+1.81</f>
        <v>9.611</v>
      </c>
      <c r="H28" s="81">
        <v>19.506</v>
      </c>
      <c r="I28" s="81">
        <v>26.088</v>
      </c>
      <c r="J28" s="81">
        <v>4.133</v>
      </c>
      <c r="K28" s="81">
        <v>40.032</v>
      </c>
      <c r="L28" s="81"/>
      <c r="M28" s="81">
        <f>24.538+0.944</f>
        <v>25.482</v>
      </c>
      <c r="N28" s="81">
        <v>1.843</v>
      </c>
      <c r="O28" s="81">
        <v>4.507</v>
      </c>
      <c r="P28" s="81"/>
      <c r="Q28" s="81">
        <v>2.565</v>
      </c>
      <c r="R28" s="81">
        <v>5.263</v>
      </c>
      <c r="S28" s="81">
        <v>2.045</v>
      </c>
      <c r="T28" s="81">
        <v>42.98</v>
      </c>
      <c r="U28" s="81"/>
      <c r="V28" s="81"/>
      <c r="W28" s="81"/>
      <c r="X28" s="81"/>
      <c r="Y28" s="81"/>
      <c r="Z28" s="81"/>
      <c r="AA28" s="81">
        <f>SUM(D28:Z28)</f>
        <v>196.70299999999997</v>
      </c>
      <c r="AB28" s="104">
        <f t="shared" si="4"/>
        <v>-470.289</v>
      </c>
      <c r="AE28" s="111"/>
    </row>
    <row r="29" spans="2:31" ht="27.75">
      <c r="B29" s="105" t="s">
        <v>34</v>
      </c>
      <c r="C29" s="106">
        <f>C30</f>
        <v>1090.104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0</v>
      </c>
      <c r="G29" s="106">
        <f t="shared" si="7"/>
        <v>0</v>
      </c>
      <c r="H29" s="106">
        <f t="shared" si="7"/>
        <v>0</v>
      </c>
      <c r="I29" s="106">
        <f t="shared" si="7"/>
        <v>45.639</v>
      </c>
      <c r="J29" s="106">
        <f t="shared" si="7"/>
        <v>0</v>
      </c>
      <c r="K29" s="106">
        <f t="shared" si="7"/>
        <v>27.293</v>
      </c>
      <c r="L29" s="106">
        <f t="shared" si="7"/>
        <v>0</v>
      </c>
      <c r="M29" s="106">
        <f t="shared" si="7"/>
        <v>23.987</v>
      </c>
      <c r="N29" s="106">
        <f t="shared" si="7"/>
        <v>0</v>
      </c>
      <c r="O29" s="106">
        <f t="shared" si="7"/>
        <v>0</v>
      </c>
      <c r="P29" s="106">
        <f t="shared" si="7"/>
        <v>0</v>
      </c>
      <c r="Q29" s="106">
        <f t="shared" si="7"/>
        <v>49.09</v>
      </c>
      <c r="R29" s="106">
        <f t="shared" si="7"/>
        <v>0</v>
      </c>
      <c r="S29" s="106">
        <f t="shared" si="7"/>
        <v>0</v>
      </c>
      <c r="T29" s="106">
        <f t="shared" si="7"/>
        <v>0</v>
      </c>
      <c r="U29" s="106">
        <f t="shared" si="7"/>
        <v>10.343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156.352</v>
      </c>
      <c r="AB29" s="104">
        <f t="shared" si="4"/>
        <v>-933.7520000000001</v>
      </c>
      <c r="AE29" s="111"/>
    </row>
    <row r="30" spans="2:31" ht="15">
      <c r="B30" s="112" t="s">
        <v>35</v>
      </c>
      <c r="C30" s="113">
        <v>1090.104</v>
      </c>
      <c r="D30" s="86"/>
      <c r="E30" s="86"/>
      <c r="F30" s="86"/>
      <c r="G30" s="86"/>
      <c r="H30" s="86"/>
      <c r="I30" s="86">
        <v>45.639</v>
      </c>
      <c r="J30" s="86"/>
      <c r="K30" s="86">
        <v>27.293</v>
      </c>
      <c r="L30" s="86"/>
      <c r="M30" s="86">
        <v>23.987</v>
      </c>
      <c r="N30" s="86"/>
      <c r="O30" s="86"/>
      <c r="P30" s="86"/>
      <c r="Q30" s="86">
        <v>49.09</v>
      </c>
      <c r="R30" s="86"/>
      <c r="S30" s="86"/>
      <c r="T30" s="86"/>
      <c r="U30" s="86">
        <v>10.343</v>
      </c>
      <c r="V30" s="86"/>
      <c r="W30" s="86"/>
      <c r="X30" s="86"/>
      <c r="Y30" s="113"/>
      <c r="Z30" s="113"/>
      <c r="AA30" s="81">
        <f>SUM(D30:Z30)</f>
        <v>156.352</v>
      </c>
      <c r="AB30" s="104">
        <f t="shared" si="4"/>
        <v>-933.7520000000001</v>
      </c>
      <c r="AE30" s="111"/>
    </row>
    <row r="31" spans="2:31" ht="42">
      <c r="B31" s="105" t="s">
        <v>36</v>
      </c>
      <c r="C31" s="106">
        <v>29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-29</v>
      </c>
      <c r="AE31" s="111"/>
    </row>
    <row r="32" spans="1:40" s="66" customFormat="1" ht="27.75">
      <c r="A32" s="66" t="s">
        <v>37</v>
      </c>
      <c r="B32" s="105" t="s">
        <v>69</v>
      </c>
      <c r="C32" s="106">
        <v>362.855</v>
      </c>
      <c r="D32" s="106"/>
      <c r="E32" s="106"/>
      <c r="F32" s="106">
        <v>30.453</v>
      </c>
      <c r="G32" s="106"/>
      <c r="H32" s="106"/>
      <c r="I32" s="106"/>
      <c r="J32" s="106">
        <v>2.49</v>
      </c>
      <c r="K32" s="106"/>
      <c r="L32" s="106"/>
      <c r="M32" s="106"/>
      <c r="N32" s="106"/>
      <c r="O32" s="106"/>
      <c r="P32" s="106"/>
      <c r="Q32" s="106"/>
      <c r="R32" s="106">
        <v>17.972</v>
      </c>
      <c r="S32" s="106">
        <v>229.3</v>
      </c>
      <c r="T32" s="106">
        <v>5.4</v>
      </c>
      <c r="U32" s="114"/>
      <c r="V32" s="114"/>
      <c r="W32" s="114"/>
      <c r="X32" s="106"/>
      <c r="Y32" s="106"/>
      <c r="Z32" s="106"/>
      <c r="AA32" s="106">
        <f>SUM(D32:Z32)</f>
        <v>285.615</v>
      </c>
      <c r="AB32" s="104">
        <f t="shared" si="4"/>
        <v>-77.24000000000001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2">
      <c r="B33" s="105" t="s">
        <v>39</v>
      </c>
      <c r="C33" s="106">
        <v>224.055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>
        <v>124.567</v>
      </c>
      <c r="T33" s="114"/>
      <c r="U33" s="106"/>
      <c r="V33" s="106"/>
      <c r="W33" s="106"/>
      <c r="X33" s="106"/>
      <c r="Y33" s="106"/>
      <c r="Z33" s="106"/>
      <c r="AA33" s="106">
        <f>SUM(D33:Z33)</f>
        <v>124.567</v>
      </c>
      <c r="AB33" s="104">
        <f t="shared" si="4"/>
        <v>-99.48800000000001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42" hidden="1">
      <c r="B34" s="105" t="s">
        <v>41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0</v>
      </c>
      <c r="AB34" s="104">
        <f t="shared" si="4"/>
        <v>0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">
      <c r="B35" s="105" t="s">
        <v>42</v>
      </c>
      <c r="C35" s="106">
        <f>SUM(C36:C40)</f>
        <v>611.322</v>
      </c>
      <c r="D35" s="106">
        <f>SUM(D36:D40)</f>
        <v>0</v>
      </c>
      <c r="E35" s="106">
        <f>SUM(E36:E40)</f>
        <v>0</v>
      </c>
      <c r="F35" s="106">
        <f>SUM(F36:F40)</f>
        <v>45.084</v>
      </c>
      <c r="G35" s="106">
        <f aca="true" t="shared" si="8" ref="G35:S35">SUM(G36:G40)</f>
        <v>0</v>
      </c>
      <c r="H35" s="106">
        <f t="shared" si="8"/>
        <v>0</v>
      </c>
      <c r="I35" s="106">
        <f t="shared" si="8"/>
        <v>7.720000000000001</v>
      </c>
      <c r="J35" s="106">
        <f t="shared" si="8"/>
        <v>0</v>
      </c>
      <c r="K35" s="106">
        <f t="shared" si="8"/>
        <v>0</v>
      </c>
      <c r="L35" s="106">
        <f t="shared" si="8"/>
        <v>0</v>
      </c>
      <c r="M35" s="106">
        <f t="shared" si="8"/>
        <v>195.398</v>
      </c>
      <c r="N35" s="106">
        <f t="shared" si="8"/>
        <v>0</v>
      </c>
      <c r="O35" s="106">
        <f t="shared" si="8"/>
        <v>0</v>
      </c>
      <c r="P35" s="106">
        <f t="shared" si="8"/>
        <v>0</v>
      </c>
      <c r="Q35" s="106">
        <f t="shared" si="8"/>
        <v>9.887</v>
      </c>
      <c r="R35" s="106">
        <f t="shared" si="8"/>
        <v>0</v>
      </c>
      <c r="S35" s="106">
        <f t="shared" si="8"/>
        <v>308.178</v>
      </c>
      <c r="T35" s="106">
        <f>SUM(T36:T40)</f>
        <v>0</v>
      </c>
      <c r="U35" s="106">
        <f>SUM(U36:U40)</f>
        <v>0</v>
      </c>
      <c r="V35" s="106">
        <f aca="true" t="shared" si="9" ref="V35:AA35">SUM(V36:V40)</f>
        <v>0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566.2669999999999</v>
      </c>
      <c r="AB35" s="104">
        <f t="shared" si="4"/>
        <v>-45.055000000000064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">
      <c r="B36" s="107" t="s">
        <v>20</v>
      </c>
      <c r="C36" s="108">
        <v>508.446</v>
      </c>
      <c r="D36" s="81"/>
      <c r="E36" s="81"/>
      <c r="F36" s="81">
        <v>14.531</v>
      </c>
      <c r="G36" s="81"/>
      <c r="H36" s="81"/>
      <c r="I36" s="81"/>
      <c r="J36" s="86"/>
      <c r="K36" s="81"/>
      <c r="L36" s="81"/>
      <c r="M36" s="81">
        <v>182.706</v>
      </c>
      <c r="N36" s="81"/>
      <c r="O36" s="81"/>
      <c r="P36" s="110"/>
      <c r="Q36" s="81"/>
      <c r="R36" s="110"/>
      <c r="S36" s="81">
        <v>308.058</v>
      </c>
      <c r="T36" s="81"/>
      <c r="U36" s="81"/>
      <c r="V36" s="86"/>
      <c r="W36" s="86"/>
      <c r="X36" s="81"/>
      <c r="Y36" s="81"/>
      <c r="Z36" s="81"/>
      <c r="AA36" s="81">
        <f>SUM(D36:Z36)</f>
        <v>505.29499999999996</v>
      </c>
      <c r="AB36" s="104">
        <f t="shared" si="4"/>
        <v>-3.1510000000000673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">
      <c r="B37" s="107" t="s">
        <v>29</v>
      </c>
      <c r="C37" s="108">
        <v>3.6</v>
      </c>
      <c r="D37" s="81"/>
      <c r="E37" s="81"/>
      <c r="F37" s="81"/>
      <c r="G37" s="81"/>
      <c r="H37" s="81"/>
      <c r="I37" s="81">
        <v>3.596</v>
      </c>
      <c r="J37" s="86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3.596</v>
      </c>
      <c r="AB37" s="104">
        <f t="shared" si="4"/>
        <v>-0.0040000000000000036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>
        <v>3.3</v>
      </c>
      <c r="R38" s="110"/>
      <c r="S38" s="81"/>
      <c r="T38" s="81"/>
      <c r="U38" s="81"/>
      <c r="V38" s="86"/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">
      <c r="B39" s="107" t="s">
        <v>22</v>
      </c>
      <c r="C39" s="108">
        <v>85.744</v>
      </c>
      <c r="D39" s="81"/>
      <c r="E39" s="81"/>
      <c r="F39" s="81">
        <v>30.553</v>
      </c>
      <c r="G39" s="81"/>
      <c r="H39" s="81"/>
      <c r="I39" s="81">
        <v>0.168</v>
      </c>
      <c r="J39" s="81"/>
      <c r="K39" s="81"/>
      <c r="L39" s="81"/>
      <c r="M39" s="81">
        <v>12.044</v>
      </c>
      <c r="N39" s="81"/>
      <c r="O39" s="81"/>
      <c r="P39" s="110"/>
      <c r="Q39" s="81">
        <v>4.765</v>
      </c>
      <c r="R39" s="110"/>
      <c r="S39" s="81"/>
      <c r="T39" s="81"/>
      <c r="U39" s="81"/>
      <c r="V39" s="86"/>
      <c r="W39" s="86"/>
      <c r="X39" s="81"/>
      <c r="Y39" s="81"/>
      <c r="Z39" s="81"/>
      <c r="AA39" s="81">
        <f>SUM(D39:Z39)</f>
        <v>47.53</v>
      </c>
      <c r="AB39" s="104">
        <f t="shared" si="4"/>
        <v>-38.214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">
      <c r="B40" s="107" t="s">
        <v>24</v>
      </c>
      <c r="C40" s="108">
        <v>10.232</v>
      </c>
      <c r="D40" s="81"/>
      <c r="E40" s="81"/>
      <c r="F40" s="81"/>
      <c r="G40" s="81"/>
      <c r="H40" s="81"/>
      <c r="I40" s="81">
        <v>3.956</v>
      </c>
      <c r="J40" s="81"/>
      <c r="K40" s="81"/>
      <c r="L40" s="81"/>
      <c r="M40" s="81">
        <v>0.648</v>
      </c>
      <c r="N40" s="81"/>
      <c r="O40" s="81"/>
      <c r="P40" s="81"/>
      <c r="Q40" s="81">
        <v>1.822</v>
      </c>
      <c r="R40" s="81"/>
      <c r="S40" s="81">
        <v>0.12</v>
      </c>
      <c r="T40" s="81"/>
      <c r="U40" s="81"/>
      <c r="V40" s="81"/>
      <c r="W40" s="81"/>
      <c r="X40" s="81"/>
      <c r="Y40" s="81"/>
      <c r="Z40" s="81"/>
      <c r="AA40" s="81">
        <f>SUM(D40:Z40)</f>
        <v>6.546</v>
      </c>
      <c r="AB40" s="104">
        <f t="shared" si="4"/>
        <v>-3.685999999999999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">
      <c r="B41" s="105" t="s">
        <v>43</v>
      </c>
      <c r="C41" s="106">
        <f aca="true" t="shared" si="10" ref="C41:S41">SUM(C42:C44)</f>
        <v>219.494</v>
      </c>
      <c r="D41" s="106">
        <f t="shared" si="10"/>
        <v>0</v>
      </c>
      <c r="E41" s="106">
        <f t="shared" si="10"/>
        <v>0</v>
      </c>
      <c r="F41" s="106">
        <f t="shared" si="10"/>
        <v>2.278</v>
      </c>
      <c r="G41" s="106">
        <f t="shared" si="10"/>
        <v>0</v>
      </c>
      <c r="H41" s="106">
        <f t="shared" si="10"/>
        <v>0</v>
      </c>
      <c r="I41" s="106">
        <f t="shared" si="10"/>
        <v>83.44600000000001</v>
      </c>
      <c r="J41" s="106">
        <f t="shared" si="10"/>
        <v>0</v>
      </c>
      <c r="K41" s="106">
        <f t="shared" si="10"/>
        <v>0</v>
      </c>
      <c r="L41" s="106">
        <f t="shared" si="10"/>
        <v>0</v>
      </c>
      <c r="M41" s="106">
        <f t="shared" si="10"/>
        <v>0</v>
      </c>
      <c r="N41" s="106">
        <f t="shared" si="10"/>
        <v>0</v>
      </c>
      <c r="O41" s="106">
        <f t="shared" si="10"/>
        <v>0</v>
      </c>
      <c r="P41" s="106">
        <f t="shared" si="10"/>
        <v>3.021</v>
      </c>
      <c r="Q41" s="106">
        <f t="shared" si="10"/>
        <v>0</v>
      </c>
      <c r="R41" s="106">
        <f t="shared" si="10"/>
        <v>0</v>
      </c>
      <c r="S41" s="106">
        <f t="shared" si="10"/>
        <v>0</v>
      </c>
      <c r="T41" s="106">
        <f>SUM(T42:T44)</f>
        <v>57.06</v>
      </c>
      <c r="U41" s="106">
        <f>SUM(U42:U44)</f>
        <v>0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145.805</v>
      </c>
      <c r="AB41" s="104">
        <f t="shared" si="4"/>
        <v>-73.689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">
      <c r="B42" s="107" t="s">
        <v>20</v>
      </c>
      <c r="C42" s="108">
        <v>177.689</v>
      </c>
      <c r="D42" s="81"/>
      <c r="E42" s="81"/>
      <c r="F42" s="81"/>
      <c r="G42" s="81"/>
      <c r="H42" s="81"/>
      <c r="I42" s="81">
        <v>69.135</v>
      </c>
      <c r="J42" s="86"/>
      <c r="K42" s="81"/>
      <c r="L42" s="81"/>
      <c r="M42" s="81"/>
      <c r="N42" s="81"/>
      <c r="O42" s="81"/>
      <c r="P42" s="110"/>
      <c r="Q42" s="81"/>
      <c r="R42" s="110"/>
      <c r="S42" s="81"/>
      <c r="T42" s="81">
        <v>57.06</v>
      </c>
      <c r="U42" s="81"/>
      <c r="V42" s="86"/>
      <c r="W42" s="86"/>
      <c r="X42" s="81"/>
      <c r="Y42" s="81"/>
      <c r="Z42" s="81"/>
      <c r="AA42" s="81">
        <f>SUM(D42:Z42)</f>
        <v>126.19500000000001</v>
      </c>
      <c r="AB42" s="104">
        <f t="shared" si="4"/>
        <v>-51.493999999999986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">
      <c r="B43" s="107" t="s">
        <v>22</v>
      </c>
      <c r="C43" s="108">
        <v>32.025</v>
      </c>
      <c r="D43" s="81"/>
      <c r="E43" s="81"/>
      <c r="F43" s="81">
        <v>1.216</v>
      </c>
      <c r="G43" s="81"/>
      <c r="H43" s="81"/>
      <c r="I43" s="81">
        <v>11.665</v>
      </c>
      <c r="J43" s="86"/>
      <c r="K43" s="81"/>
      <c r="L43" s="81"/>
      <c r="M43" s="81"/>
      <c r="N43" s="81"/>
      <c r="O43" s="81"/>
      <c r="P43" s="81">
        <v>1.481</v>
      </c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14.361999999999998</v>
      </c>
      <c r="AB43" s="104">
        <f t="shared" si="4"/>
        <v>-17.663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">
      <c r="B44" s="107" t="s">
        <v>24</v>
      </c>
      <c r="C44" s="108">
        <v>9.78</v>
      </c>
      <c r="D44" s="81"/>
      <c r="E44" s="81"/>
      <c r="F44" s="81">
        <v>1.062</v>
      </c>
      <c r="G44" s="81"/>
      <c r="H44" s="81"/>
      <c r="I44" s="81">
        <v>2.646</v>
      </c>
      <c r="J44" s="81"/>
      <c r="K44" s="81"/>
      <c r="L44" s="81"/>
      <c r="M44" s="81"/>
      <c r="N44" s="81"/>
      <c r="O44" s="81"/>
      <c r="P44" s="81">
        <v>1.54</v>
      </c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>
        <f>SUM(D44:Z44)</f>
        <v>5.248</v>
      </c>
      <c r="AB44" s="104">
        <f t="shared" si="4"/>
        <v>-4.531999999999999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">
      <c r="B45" s="105" t="s">
        <v>44</v>
      </c>
      <c r="C45" s="106">
        <f aca="true" t="shared" si="12" ref="C45:Y45">SUM(C46:C48)</f>
        <v>131.852</v>
      </c>
      <c r="D45" s="106">
        <f t="shared" si="12"/>
        <v>0</v>
      </c>
      <c r="E45" s="106">
        <f t="shared" si="12"/>
        <v>0</v>
      </c>
      <c r="F45" s="106">
        <f t="shared" si="12"/>
        <v>0</v>
      </c>
      <c r="G45" s="106">
        <f t="shared" si="12"/>
        <v>0</v>
      </c>
      <c r="H45" s="106">
        <f t="shared" si="12"/>
        <v>42.489000000000004</v>
      </c>
      <c r="I45" s="106">
        <f t="shared" si="12"/>
        <v>0</v>
      </c>
      <c r="J45" s="106">
        <f t="shared" si="12"/>
        <v>0</v>
      </c>
      <c r="K45" s="106">
        <f t="shared" si="12"/>
        <v>0</v>
      </c>
      <c r="L45" s="106">
        <f t="shared" si="12"/>
        <v>0</v>
      </c>
      <c r="M45" s="106">
        <f t="shared" si="12"/>
        <v>0</v>
      </c>
      <c r="N45" s="106">
        <f t="shared" si="12"/>
        <v>0</v>
      </c>
      <c r="O45" s="106">
        <f t="shared" si="12"/>
        <v>0</v>
      </c>
      <c r="P45" s="106">
        <f t="shared" si="12"/>
        <v>0</v>
      </c>
      <c r="Q45" s="106">
        <f t="shared" si="12"/>
        <v>0</v>
      </c>
      <c r="R45" s="106">
        <f t="shared" si="12"/>
        <v>39.521</v>
      </c>
      <c r="S45" s="106">
        <f t="shared" si="12"/>
        <v>0</v>
      </c>
      <c r="T45" s="106">
        <f>SUM(T46:T48)</f>
        <v>0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82.01</v>
      </c>
      <c r="AB45" s="104">
        <f t="shared" si="4"/>
        <v>-49.842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">
      <c r="B46" s="107" t="s">
        <v>20</v>
      </c>
      <c r="C46" s="108">
        <v>120.332</v>
      </c>
      <c r="D46" s="81"/>
      <c r="E46" s="81"/>
      <c r="F46" s="81"/>
      <c r="G46" s="81"/>
      <c r="H46" s="81">
        <v>38.435</v>
      </c>
      <c r="I46" s="81"/>
      <c r="J46" s="86"/>
      <c r="K46" s="81"/>
      <c r="L46" s="81"/>
      <c r="M46" s="81"/>
      <c r="N46" s="81"/>
      <c r="O46" s="81"/>
      <c r="P46" s="81"/>
      <c r="Q46" s="81"/>
      <c r="R46" s="110">
        <v>39.521</v>
      </c>
      <c r="S46" s="81"/>
      <c r="T46" s="81"/>
      <c r="U46" s="81"/>
      <c r="V46" s="86"/>
      <c r="W46" s="86"/>
      <c r="X46" s="86"/>
      <c r="Y46" s="86"/>
      <c r="Z46" s="86"/>
      <c r="AA46" s="81">
        <f>SUM(D46:Z46)</f>
        <v>77.956</v>
      </c>
      <c r="AB46" s="104">
        <f t="shared" si="4"/>
        <v>-42.37599999999999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">
      <c r="B47" s="107" t="s">
        <v>22</v>
      </c>
      <c r="C47" s="108">
        <v>10.02</v>
      </c>
      <c r="D47" s="81"/>
      <c r="E47" s="81"/>
      <c r="F47" s="81"/>
      <c r="G47" s="81"/>
      <c r="H47" s="81">
        <v>3.994</v>
      </c>
      <c r="I47" s="81"/>
      <c r="J47" s="86"/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3.994</v>
      </c>
      <c r="AB47" s="104">
        <f t="shared" si="4"/>
        <v>-6.026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">
      <c r="B48" s="107" t="s">
        <v>24</v>
      </c>
      <c r="C48" s="108">
        <v>1.5</v>
      </c>
      <c r="D48" s="81"/>
      <c r="E48" s="81"/>
      <c r="F48" s="81"/>
      <c r="G48" s="81"/>
      <c r="H48" s="81">
        <v>0.06</v>
      </c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0.06</v>
      </c>
      <c r="AB48" s="104">
        <f t="shared" si="4"/>
        <v>-1.44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">
      <c r="A49" s="66">
        <v>90501</v>
      </c>
      <c r="B49" s="105" t="s">
        <v>45</v>
      </c>
      <c r="C49" s="106">
        <f>C50+C51</f>
        <v>16.1</v>
      </c>
      <c r="D49" s="106">
        <f aca="true" t="shared" si="13" ref="D49:Y49">D50+D51</f>
        <v>0</v>
      </c>
      <c r="E49" s="106">
        <f t="shared" si="13"/>
        <v>0</v>
      </c>
      <c r="F49" s="106">
        <f t="shared" si="13"/>
        <v>0</v>
      </c>
      <c r="G49" s="106">
        <f t="shared" si="13"/>
        <v>0</v>
      </c>
      <c r="H49" s="106">
        <f t="shared" si="13"/>
        <v>0</v>
      </c>
      <c r="I49" s="106">
        <f t="shared" si="13"/>
        <v>0</v>
      </c>
      <c r="J49" s="106">
        <f t="shared" si="13"/>
        <v>0</v>
      </c>
      <c r="K49" s="106">
        <f t="shared" si="13"/>
        <v>0</v>
      </c>
      <c r="L49" s="106">
        <f t="shared" si="13"/>
        <v>0</v>
      </c>
      <c r="M49" s="106">
        <f t="shared" si="13"/>
        <v>0</v>
      </c>
      <c r="N49" s="106">
        <f t="shared" si="13"/>
        <v>0</v>
      </c>
      <c r="O49" s="106">
        <f t="shared" si="13"/>
        <v>0</v>
      </c>
      <c r="P49" s="106">
        <f t="shared" si="13"/>
        <v>0</v>
      </c>
      <c r="Q49" s="106">
        <f t="shared" si="13"/>
        <v>0</v>
      </c>
      <c r="R49" s="106">
        <f t="shared" si="13"/>
        <v>0</v>
      </c>
      <c r="S49" s="106">
        <f t="shared" si="13"/>
        <v>0</v>
      </c>
      <c r="T49" s="106">
        <f>T50+T51</f>
        <v>0</v>
      </c>
      <c r="U49" s="106">
        <f>U50+U51</f>
        <v>0</v>
      </c>
      <c r="V49" s="106">
        <f t="shared" si="13"/>
        <v>0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0</v>
      </c>
      <c r="AB49" s="104">
        <f t="shared" si="4"/>
        <v>-16.1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">
      <c r="B50" s="107" t="s">
        <v>20</v>
      </c>
      <c r="C50" s="113">
        <f>0+6</f>
        <v>6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1">
        <f>SUM(D50:Z50)</f>
        <v>0</v>
      </c>
      <c r="AB50" s="104">
        <f t="shared" si="4"/>
        <v>-6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">
      <c r="B51" s="107" t="s">
        <v>35</v>
      </c>
      <c r="C51" s="113">
        <v>10.1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0</v>
      </c>
      <c r="AB51" s="104">
        <f t="shared" si="4"/>
        <v>-10.1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">
      <c r="A52" s="66">
        <v>110000</v>
      </c>
      <c r="B52" s="105" t="s">
        <v>46</v>
      </c>
      <c r="C52" s="106">
        <f aca="true" t="shared" si="14" ref="C52:AA52">SUM(C53:C56)</f>
        <v>922.4159999999999</v>
      </c>
      <c r="D52" s="106">
        <f t="shared" si="14"/>
        <v>0</v>
      </c>
      <c r="E52" s="106">
        <f t="shared" si="14"/>
        <v>0</v>
      </c>
      <c r="F52" s="106">
        <f t="shared" si="14"/>
        <v>57.32</v>
      </c>
      <c r="G52" s="106">
        <f t="shared" si="14"/>
        <v>10.962</v>
      </c>
      <c r="H52" s="106">
        <f t="shared" si="14"/>
        <v>0</v>
      </c>
      <c r="I52" s="106">
        <f t="shared" si="14"/>
        <v>4.182</v>
      </c>
      <c r="J52" s="106">
        <f t="shared" si="14"/>
        <v>0</v>
      </c>
      <c r="K52" s="106">
        <f t="shared" si="14"/>
        <v>84.539</v>
      </c>
      <c r="L52" s="106">
        <f t="shared" si="14"/>
        <v>145.139</v>
      </c>
      <c r="M52" s="106">
        <f t="shared" si="14"/>
        <v>0</v>
      </c>
      <c r="N52" s="106">
        <f t="shared" si="14"/>
        <v>0</v>
      </c>
      <c r="O52" s="106">
        <f t="shared" si="14"/>
        <v>0.45</v>
      </c>
      <c r="P52" s="106">
        <f t="shared" si="14"/>
        <v>7.031</v>
      </c>
      <c r="Q52" s="106">
        <f t="shared" si="14"/>
        <v>0</v>
      </c>
      <c r="R52" s="106">
        <f t="shared" si="14"/>
        <v>0</v>
      </c>
      <c r="S52" s="106">
        <f t="shared" si="14"/>
        <v>140.407</v>
      </c>
      <c r="T52" s="106">
        <f>SUM(T53:T56)</f>
        <v>139.058</v>
      </c>
      <c r="U52" s="106">
        <f t="shared" si="14"/>
        <v>0</v>
      </c>
      <c r="V52" s="106">
        <f t="shared" si="14"/>
        <v>0</v>
      </c>
      <c r="W52" s="106">
        <f t="shared" si="14"/>
        <v>0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589.0880000000001</v>
      </c>
      <c r="AB52" s="104">
        <f t="shared" si="4"/>
        <v>-333.32799999999986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">
      <c r="B53" s="107" t="s">
        <v>20</v>
      </c>
      <c r="C53" s="108">
        <v>488.525</v>
      </c>
      <c r="D53" s="81"/>
      <c r="E53" s="81"/>
      <c r="F53" s="81"/>
      <c r="G53" s="81"/>
      <c r="H53" s="81"/>
      <c r="I53" s="81"/>
      <c r="J53" s="86"/>
      <c r="K53" s="81"/>
      <c r="L53" s="81">
        <v>145.139</v>
      </c>
      <c r="M53" s="81"/>
      <c r="N53" s="81"/>
      <c r="O53" s="81"/>
      <c r="P53" s="110"/>
      <c r="Q53" s="81"/>
      <c r="R53" s="110"/>
      <c r="S53" s="81">
        <v>140.407</v>
      </c>
      <c r="T53" s="81">
        <v>139.058</v>
      </c>
      <c r="U53" s="81"/>
      <c r="V53" s="86"/>
      <c r="W53" s="86"/>
      <c r="X53" s="86"/>
      <c r="Y53" s="81"/>
      <c r="Z53" s="81"/>
      <c r="AA53" s="81">
        <f>SUM(D53:Z53)</f>
        <v>424.60400000000004</v>
      </c>
      <c r="AB53" s="104">
        <f t="shared" si="4"/>
        <v>-63.920999999999935</v>
      </c>
    </row>
    <row r="54" spans="2:28" ht="15">
      <c r="B54" s="107" t="s">
        <v>22</v>
      </c>
      <c r="C54" s="108">
        <f>324.612-0.51</f>
        <v>324.10200000000003</v>
      </c>
      <c r="D54" s="81"/>
      <c r="E54" s="81"/>
      <c r="F54" s="81">
        <v>57.08</v>
      </c>
      <c r="G54" s="81">
        <v>10.962</v>
      </c>
      <c r="H54" s="81"/>
      <c r="I54" s="81"/>
      <c r="J54" s="86"/>
      <c r="K54" s="81">
        <v>74.539</v>
      </c>
      <c r="L54" s="81"/>
      <c r="M54" s="81"/>
      <c r="N54" s="81"/>
      <c r="O54" s="81"/>
      <c r="P54" s="110">
        <v>6.385</v>
      </c>
      <c r="Q54" s="81"/>
      <c r="R54" s="110"/>
      <c r="S54" s="81"/>
      <c r="T54" s="81"/>
      <c r="U54" s="81"/>
      <c r="V54" s="86"/>
      <c r="W54" s="86"/>
      <c r="X54" s="86"/>
      <c r="Y54" s="81"/>
      <c r="Z54" s="81"/>
      <c r="AA54" s="81">
        <f>SUM(D54:Z54)</f>
        <v>148.966</v>
      </c>
      <c r="AB54" s="104">
        <f t="shared" si="4"/>
        <v>-175.13600000000002</v>
      </c>
    </row>
    <row r="55" spans="2:28" ht="15">
      <c r="B55" s="107" t="s">
        <v>47</v>
      </c>
      <c r="C55" s="108">
        <v>0.02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/>
      <c r="V55" s="86"/>
      <c r="W55" s="86"/>
      <c r="X55" s="86"/>
      <c r="Y55" s="81"/>
      <c r="Z55" s="81"/>
      <c r="AA55" s="81">
        <f>SUM(D55:Z55)</f>
        <v>0</v>
      </c>
      <c r="AB55" s="104">
        <f t="shared" si="4"/>
        <v>-0.02</v>
      </c>
    </row>
    <row r="56" spans="2:29" ht="15">
      <c r="B56" s="107" t="s">
        <v>24</v>
      </c>
      <c r="C56" s="108">
        <v>109.769</v>
      </c>
      <c r="D56" s="81"/>
      <c r="E56" s="81"/>
      <c r="F56" s="81">
        <v>0.24</v>
      </c>
      <c r="G56" s="81"/>
      <c r="H56" s="81"/>
      <c r="I56" s="81">
        <v>4.182</v>
      </c>
      <c r="J56" s="81"/>
      <c r="K56" s="81">
        <v>10</v>
      </c>
      <c r="L56" s="81"/>
      <c r="M56" s="81"/>
      <c r="N56" s="81"/>
      <c r="O56" s="81">
        <v>0.45</v>
      </c>
      <c r="P56" s="81">
        <v>0.646</v>
      </c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>
        <f>SUM(D56:Z56)</f>
        <v>15.518</v>
      </c>
      <c r="AB56" s="104">
        <f t="shared" si="4"/>
        <v>-94.251</v>
      </c>
      <c r="AC56" s="66"/>
    </row>
    <row r="57" spans="1:40" s="66" customFormat="1" ht="15">
      <c r="A57" s="66">
        <v>130000</v>
      </c>
      <c r="B57" s="105" t="s">
        <v>48</v>
      </c>
      <c r="C57" s="106">
        <f>SUM(C58:C62)</f>
        <v>581.995</v>
      </c>
      <c r="D57" s="106">
        <f aca="true" t="shared" si="15" ref="D57:AA57">SUM(D58:D62)</f>
        <v>0</v>
      </c>
      <c r="E57" s="106">
        <f t="shared" si="15"/>
        <v>0</v>
      </c>
      <c r="F57" s="106">
        <f t="shared" si="15"/>
        <v>16.225</v>
      </c>
      <c r="G57" s="106">
        <f t="shared" si="15"/>
        <v>54.632999999999996</v>
      </c>
      <c r="H57" s="106">
        <f t="shared" si="15"/>
        <v>7.907</v>
      </c>
      <c r="I57" s="106">
        <f t="shared" si="15"/>
        <v>0</v>
      </c>
      <c r="J57" s="106">
        <f t="shared" si="15"/>
        <v>0</v>
      </c>
      <c r="K57" s="106">
        <f t="shared" si="15"/>
        <v>102.151</v>
      </c>
      <c r="L57" s="106">
        <f t="shared" si="15"/>
        <v>0</v>
      </c>
      <c r="M57" s="106">
        <f t="shared" si="15"/>
        <v>0</v>
      </c>
      <c r="N57" s="106">
        <f t="shared" si="15"/>
        <v>0</v>
      </c>
      <c r="O57" s="106">
        <f t="shared" si="15"/>
        <v>11.46</v>
      </c>
      <c r="P57" s="106">
        <f t="shared" si="15"/>
        <v>5.82</v>
      </c>
      <c r="Q57" s="106">
        <f t="shared" si="15"/>
        <v>2.5</v>
      </c>
      <c r="R57" s="106">
        <f t="shared" si="15"/>
        <v>27.141000000000002</v>
      </c>
      <c r="S57" s="106">
        <f t="shared" si="15"/>
        <v>0</v>
      </c>
      <c r="T57" s="106">
        <f>SUM(T58:T62)</f>
        <v>171.656</v>
      </c>
      <c r="U57" s="106">
        <f>SUM(U58:U62)</f>
        <v>0</v>
      </c>
      <c r="V57" s="106">
        <f t="shared" si="15"/>
        <v>0</v>
      </c>
      <c r="W57" s="106">
        <f t="shared" si="15"/>
        <v>0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399.493</v>
      </c>
      <c r="AB57" s="104">
        <f t="shared" si="4"/>
        <v>-182.502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">
      <c r="B58" s="107" t="s">
        <v>20</v>
      </c>
      <c r="C58" s="108">
        <v>329.533</v>
      </c>
      <c r="D58" s="81"/>
      <c r="E58" s="81"/>
      <c r="F58" s="81"/>
      <c r="G58" s="81">
        <v>1.69</v>
      </c>
      <c r="H58" s="81"/>
      <c r="I58" s="81"/>
      <c r="J58" s="110"/>
      <c r="K58" s="81">
        <v>95.47</v>
      </c>
      <c r="L58" s="81"/>
      <c r="M58" s="81"/>
      <c r="N58" s="81"/>
      <c r="O58" s="81"/>
      <c r="P58" s="110"/>
      <c r="Q58" s="81"/>
      <c r="R58" s="110"/>
      <c r="S58" s="81"/>
      <c r="T58" s="81">
        <v>157.276</v>
      </c>
      <c r="U58" s="81"/>
      <c r="V58" s="86"/>
      <c r="W58" s="86"/>
      <c r="X58" s="81"/>
      <c r="Y58" s="81"/>
      <c r="Z58" s="81"/>
      <c r="AA58" s="81">
        <f>SUM(D58:Z58)</f>
        <v>254.436</v>
      </c>
      <c r="AB58" s="104">
        <f t="shared" si="4"/>
        <v>-75.09700000000001</v>
      </c>
    </row>
    <row r="59" spans="2:28" ht="15">
      <c r="B59" s="107" t="s">
        <v>29</v>
      </c>
      <c r="C59" s="108">
        <v>0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/>
      <c r="V59" s="86"/>
      <c r="W59" s="86"/>
      <c r="X59" s="81"/>
      <c r="Y59" s="81"/>
      <c r="Z59" s="81"/>
      <c r="AA59" s="81">
        <f>SUM(D59:Z59)</f>
        <v>0</v>
      </c>
      <c r="AB59" s="104">
        <f t="shared" si="4"/>
        <v>0</v>
      </c>
    </row>
    <row r="60" spans="2:28" ht="15">
      <c r="B60" s="107" t="s">
        <v>22</v>
      </c>
      <c r="C60" s="108">
        <v>124.338</v>
      </c>
      <c r="D60" s="81"/>
      <c r="E60" s="81"/>
      <c r="F60" s="81">
        <v>5.95</v>
      </c>
      <c r="G60" s="81">
        <v>42.863</v>
      </c>
      <c r="H60" s="81"/>
      <c r="I60" s="81"/>
      <c r="J60" s="86"/>
      <c r="K60" s="81">
        <v>4.179</v>
      </c>
      <c r="L60" s="81"/>
      <c r="M60" s="81"/>
      <c r="N60" s="81"/>
      <c r="O60" s="81"/>
      <c r="P60" s="110"/>
      <c r="Q60" s="81"/>
      <c r="R60" s="81">
        <v>7.306</v>
      </c>
      <c r="S60" s="81"/>
      <c r="T60" s="81">
        <v>0.432</v>
      </c>
      <c r="U60" s="81"/>
      <c r="V60" s="86"/>
      <c r="W60" s="86"/>
      <c r="X60" s="81"/>
      <c r="Y60" s="81"/>
      <c r="Z60" s="81"/>
      <c r="AA60" s="81">
        <f>SUM(D60:Z60)</f>
        <v>60.730000000000004</v>
      </c>
      <c r="AB60" s="104">
        <f t="shared" si="4"/>
        <v>-63.60799999999999</v>
      </c>
    </row>
    <row r="61" spans="2:28" ht="15">
      <c r="B61" s="107" t="s">
        <v>35</v>
      </c>
      <c r="C61" s="108">
        <v>36.917</v>
      </c>
      <c r="D61" s="81"/>
      <c r="E61" s="81"/>
      <c r="F61" s="81"/>
      <c r="G61" s="81"/>
      <c r="H61" s="81">
        <v>7.907</v>
      </c>
      <c r="I61" s="81"/>
      <c r="J61" s="86"/>
      <c r="K61" s="81">
        <v>2.502</v>
      </c>
      <c r="L61" s="81"/>
      <c r="M61" s="81"/>
      <c r="N61" s="81"/>
      <c r="O61" s="81"/>
      <c r="P61" s="81"/>
      <c r="Q61" s="81"/>
      <c r="R61" s="81">
        <v>17.335</v>
      </c>
      <c r="S61" s="81"/>
      <c r="T61" s="81"/>
      <c r="U61" s="81"/>
      <c r="V61" s="86"/>
      <c r="W61" s="81"/>
      <c r="X61" s="86"/>
      <c r="Y61" s="86"/>
      <c r="Z61" s="86"/>
      <c r="AA61" s="81">
        <f>SUM(D61:Z61)</f>
        <v>27.744</v>
      </c>
      <c r="AB61" s="104">
        <f t="shared" si="4"/>
        <v>-9.173000000000002</v>
      </c>
    </row>
    <row r="62" spans="2:28" ht="15">
      <c r="B62" s="107" t="s">
        <v>24</v>
      </c>
      <c r="C62" s="108">
        <v>91.207</v>
      </c>
      <c r="D62" s="81"/>
      <c r="E62" s="81"/>
      <c r="F62" s="81">
        <v>10.275</v>
      </c>
      <c r="G62" s="81">
        <v>10.08</v>
      </c>
      <c r="H62" s="81"/>
      <c r="I62" s="81"/>
      <c r="J62" s="81"/>
      <c r="K62" s="81"/>
      <c r="L62" s="81"/>
      <c r="M62" s="81"/>
      <c r="N62" s="81"/>
      <c r="O62" s="81">
        <v>11.46</v>
      </c>
      <c r="P62" s="81">
        <v>5.82</v>
      </c>
      <c r="Q62" s="81">
        <v>2.5</v>
      </c>
      <c r="R62" s="81">
        <v>2.5</v>
      </c>
      <c r="S62" s="81"/>
      <c r="T62" s="81">
        <v>13.948</v>
      </c>
      <c r="U62" s="81"/>
      <c r="V62" s="81"/>
      <c r="W62" s="81"/>
      <c r="X62" s="81"/>
      <c r="Y62" s="81"/>
      <c r="Z62" s="81"/>
      <c r="AA62" s="81">
        <f>SUM(D62:Z62)</f>
        <v>56.583000000000006</v>
      </c>
      <c r="AB62" s="104">
        <f t="shared" si="4"/>
        <v>-34.62399999999999</v>
      </c>
    </row>
    <row r="63" spans="2:28" ht="15">
      <c r="B63" s="105" t="s">
        <v>50</v>
      </c>
      <c r="C63" s="106">
        <f>C64+C65</f>
        <v>2410.446</v>
      </c>
      <c r="D63" s="106">
        <f aca="true" t="shared" si="16" ref="D63:AA63">D64+D65</f>
        <v>0</v>
      </c>
      <c r="E63" s="106">
        <f t="shared" si="16"/>
        <v>0</v>
      </c>
      <c r="F63" s="106">
        <f t="shared" si="16"/>
        <v>17.591</v>
      </c>
      <c r="G63" s="106">
        <f t="shared" si="16"/>
        <v>674.707</v>
      </c>
      <c r="H63" s="106">
        <f t="shared" si="16"/>
        <v>0</v>
      </c>
      <c r="I63" s="106">
        <f t="shared" si="16"/>
        <v>37.225</v>
      </c>
      <c r="J63" s="106">
        <f t="shared" si="16"/>
        <v>13.874</v>
      </c>
      <c r="K63" s="106">
        <f t="shared" si="16"/>
        <v>0</v>
      </c>
      <c r="L63" s="106">
        <f t="shared" si="16"/>
        <v>0</v>
      </c>
      <c r="M63" s="106">
        <f t="shared" si="16"/>
        <v>0</v>
      </c>
      <c r="N63" s="106">
        <f t="shared" si="16"/>
        <v>0</v>
      </c>
      <c r="O63" s="106">
        <f t="shared" si="16"/>
        <v>0</v>
      </c>
      <c r="P63" s="106">
        <f t="shared" si="16"/>
        <v>451.871</v>
      </c>
      <c r="Q63" s="106">
        <f t="shared" si="16"/>
        <v>23.5</v>
      </c>
      <c r="R63" s="106">
        <f t="shared" si="16"/>
        <v>0</v>
      </c>
      <c r="S63" s="106">
        <f t="shared" si="16"/>
        <v>0</v>
      </c>
      <c r="T63" s="106">
        <f>T64+T65</f>
        <v>51.266</v>
      </c>
      <c r="U63" s="106">
        <f t="shared" si="16"/>
        <v>0</v>
      </c>
      <c r="V63" s="106">
        <f t="shared" si="16"/>
        <v>0</v>
      </c>
      <c r="W63" s="106">
        <f t="shared" si="16"/>
        <v>0</v>
      </c>
      <c r="X63" s="106">
        <f t="shared" si="16"/>
        <v>0</v>
      </c>
      <c r="Y63" s="106">
        <f t="shared" si="16"/>
        <v>0</v>
      </c>
      <c r="Z63" s="106">
        <f>Z64+Z65</f>
        <v>0</v>
      </c>
      <c r="AA63" s="106">
        <f t="shared" si="16"/>
        <v>1270.034</v>
      </c>
      <c r="AB63" s="104">
        <f t="shared" si="4"/>
        <v>-1140.4119999999998</v>
      </c>
    </row>
    <row r="64" spans="2:28" ht="15">
      <c r="B64" s="118" t="s">
        <v>51</v>
      </c>
      <c r="C64" s="113">
        <v>280</v>
      </c>
      <c r="D64" s="86"/>
      <c r="E64" s="86"/>
      <c r="F64" s="86">
        <v>14.23</v>
      </c>
      <c r="G64" s="86"/>
      <c r="H64" s="86"/>
      <c r="I64" s="86"/>
      <c r="J64" s="86">
        <v>13.874</v>
      </c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28.104</v>
      </c>
      <c r="AB64" s="104">
        <f t="shared" si="4"/>
        <v>-251.89600000000002</v>
      </c>
    </row>
    <row r="65" spans="2:28" ht="15">
      <c r="B65" s="118" t="s">
        <v>35</v>
      </c>
      <c r="C65" s="113">
        <v>2130.446</v>
      </c>
      <c r="D65" s="86"/>
      <c r="E65" s="86"/>
      <c r="F65" s="86">
        <v>3.361</v>
      </c>
      <c r="G65" s="86">
        <v>674.707</v>
      </c>
      <c r="H65" s="86"/>
      <c r="I65" s="86">
        <v>37.225</v>
      </c>
      <c r="J65" s="86"/>
      <c r="K65" s="86"/>
      <c r="L65" s="86"/>
      <c r="M65" s="86"/>
      <c r="N65" s="86"/>
      <c r="O65" s="86"/>
      <c r="P65" s="86">
        <v>451.871</v>
      </c>
      <c r="Q65" s="86">
        <v>23.5</v>
      </c>
      <c r="R65" s="86"/>
      <c r="S65" s="86"/>
      <c r="T65" s="86">
        <v>51.266</v>
      </c>
      <c r="U65" s="86"/>
      <c r="V65" s="86"/>
      <c r="W65" s="86"/>
      <c r="X65" s="86"/>
      <c r="Y65" s="86"/>
      <c r="Z65" s="86"/>
      <c r="AA65" s="86">
        <f>SUM(D65:Z65)</f>
        <v>1241.93</v>
      </c>
      <c r="AB65" s="104">
        <f t="shared" si="4"/>
        <v>-888.5159999999998</v>
      </c>
    </row>
    <row r="66" spans="2:28" ht="15">
      <c r="B66" s="105" t="s">
        <v>52</v>
      </c>
      <c r="C66" s="106">
        <f>C67+C68</f>
        <v>31.654</v>
      </c>
      <c r="D66" s="106">
        <f aca="true" t="shared" si="17" ref="D66:AA66">D67+D68</f>
        <v>0</v>
      </c>
      <c r="E66" s="106">
        <f t="shared" si="17"/>
        <v>0</v>
      </c>
      <c r="F66" s="106">
        <f t="shared" si="17"/>
        <v>0</v>
      </c>
      <c r="G66" s="106">
        <f t="shared" si="17"/>
        <v>0</v>
      </c>
      <c r="H66" s="106">
        <f t="shared" si="17"/>
        <v>0</v>
      </c>
      <c r="I66" s="106">
        <f t="shared" si="17"/>
        <v>0</v>
      </c>
      <c r="J66" s="106">
        <f t="shared" si="17"/>
        <v>13.773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0.654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14.427</v>
      </c>
      <c r="AB66" s="104">
        <f t="shared" si="4"/>
        <v>-17.227</v>
      </c>
    </row>
    <row r="67" spans="2:28" ht="15">
      <c r="B67" s="107" t="s">
        <v>22</v>
      </c>
      <c r="C67" s="113">
        <v>31</v>
      </c>
      <c r="D67" s="86"/>
      <c r="E67" s="86"/>
      <c r="F67" s="86"/>
      <c r="G67" s="86"/>
      <c r="H67" s="86"/>
      <c r="I67" s="86"/>
      <c r="J67" s="86">
        <v>13.773</v>
      </c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13.773</v>
      </c>
      <c r="AB67" s="104">
        <f t="shared" si="4"/>
        <v>-17.227</v>
      </c>
    </row>
    <row r="68" spans="2:28" ht="15">
      <c r="B68" s="107" t="s">
        <v>35</v>
      </c>
      <c r="C68" s="113">
        <v>0.654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>
        <v>0.654</v>
      </c>
      <c r="U68" s="86"/>
      <c r="V68" s="86"/>
      <c r="W68" s="86"/>
      <c r="X68" s="86"/>
      <c r="Y68" s="86"/>
      <c r="Z68" s="86"/>
      <c r="AA68" s="86">
        <f>SUM(D68:Z68)</f>
        <v>0.654</v>
      </c>
      <c r="AB68" s="104">
        <f t="shared" si="4"/>
        <v>0</v>
      </c>
    </row>
    <row r="69" spans="2:28" ht="45" customHeight="1" hidden="1">
      <c r="B69" s="119" t="s">
        <v>53</v>
      </c>
      <c r="C69" s="106">
        <v>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 aca="true" t="shared" si="18" ref="D69:AA70">AA70</f>
        <v>0</v>
      </c>
      <c r="AB69" s="104">
        <f t="shared" si="4"/>
        <v>0</v>
      </c>
    </row>
    <row r="70" spans="1:29" ht="15">
      <c r="A70" s="66">
        <v>170703</v>
      </c>
      <c r="B70" s="105" t="s">
        <v>54</v>
      </c>
      <c r="C70" s="106">
        <f>C71</f>
        <v>294.7</v>
      </c>
      <c r="D70" s="106">
        <f t="shared" si="18"/>
        <v>0</v>
      </c>
      <c r="E70" s="106">
        <f t="shared" si="18"/>
        <v>0</v>
      </c>
      <c r="F70" s="106">
        <f t="shared" si="18"/>
        <v>0</v>
      </c>
      <c r="G70" s="106">
        <f t="shared" si="18"/>
        <v>0</v>
      </c>
      <c r="H70" s="106">
        <f t="shared" si="18"/>
        <v>0</v>
      </c>
      <c r="I70" s="106">
        <f t="shared" si="18"/>
        <v>0</v>
      </c>
      <c r="J70" s="106">
        <f t="shared" si="18"/>
        <v>0</v>
      </c>
      <c r="K70" s="106">
        <f t="shared" si="18"/>
        <v>0</v>
      </c>
      <c r="L70" s="106">
        <f t="shared" si="18"/>
        <v>0</v>
      </c>
      <c r="M70" s="106">
        <f t="shared" si="18"/>
        <v>0</v>
      </c>
      <c r="N70" s="106">
        <f t="shared" si="18"/>
        <v>0</v>
      </c>
      <c r="O70" s="106">
        <f t="shared" si="18"/>
        <v>0</v>
      </c>
      <c r="P70" s="106">
        <f t="shared" si="18"/>
        <v>0</v>
      </c>
      <c r="Q70" s="106">
        <f t="shared" si="18"/>
        <v>0</v>
      </c>
      <c r="R70" s="106">
        <f t="shared" si="18"/>
        <v>0</v>
      </c>
      <c r="S70" s="106">
        <f t="shared" si="18"/>
        <v>0</v>
      </c>
      <c r="T70" s="106">
        <f t="shared" si="18"/>
        <v>0</v>
      </c>
      <c r="U70" s="106">
        <f t="shared" si="18"/>
        <v>0</v>
      </c>
      <c r="V70" s="106">
        <f t="shared" si="18"/>
        <v>0</v>
      </c>
      <c r="W70" s="106">
        <f t="shared" si="18"/>
        <v>0</v>
      </c>
      <c r="X70" s="106">
        <f t="shared" si="18"/>
        <v>0</v>
      </c>
      <c r="Y70" s="106">
        <f t="shared" si="18"/>
        <v>0</v>
      </c>
      <c r="Z70" s="106">
        <f t="shared" si="18"/>
        <v>0</v>
      </c>
      <c r="AA70" s="106">
        <f t="shared" si="18"/>
        <v>0</v>
      </c>
      <c r="AB70" s="104">
        <f t="shared" si="4"/>
        <v>-294.7</v>
      </c>
      <c r="AC70" s="94"/>
    </row>
    <row r="71" spans="2:40" s="94" customFormat="1" ht="15">
      <c r="B71" s="118" t="s">
        <v>51</v>
      </c>
      <c r="C71" s="113">
        <f>300-5.3</f>
        <v>294.7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>
        <f aca="true" t="shared" si="19" ref="AA71:AA77">SUM(D71:Z71)</f>
        <v>0</v>
      </c>
      <c r="AB71" s="104">
        <f aca="true" t="shared" si="20" ref="AB71:AB85">AA71-C71</f>
        <v>-294.7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7" hidden="1">
      <c r="B72" s="119" t="s">
        <v>55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0</v>
      </c>
      <c r="AB72" s="104">
        <f t="shared" si="20"/>
        <v>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15">
      <c r="B73" s="119" t="s">
        <v>57</v>
      </c>
      <c r="C73" s="106">
        <v>38</v>
      </c>
      <c r="D73" s="106"/>
      <c r="E73" s="106"/>
      <c r="F73" s="106">
        <v>7.967</v>
      </c>
      <c r="G73" s="106"/>
      <c r="H73" s="106"/>
      <c r="I73" s="106"/>
      <c r="J73" s="106"/>
      <c r="K73" s="106">
        <v>7.933</v>
      </c>
      <c r="L73" s="106"/>
      <c r="M73" s="106"/>
      <c r="N73" s="106"/>
      <c r="O73" s="106">
        <v>19.918</v>
      </c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35.818</v>
      </c>
      <c r="AB73" s="104">
        <f t="shared" si="20"/>
        <v>-2.182000000000002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">
      <c r="B74" s="119" t="s">
        <v>58</v>
      </c>
      <c r="C74" s="106">
        <v>0.8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>
        <v>0.772</v>
      </c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0.772</v>
      </c>
      <c r="AB74" s="104">
        <f t="shared" si="20"/>
        <v>-0.028000000000000025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1:40" s="66" customFormat="1" ht="15">
      <c r="A75" s="66">
        <v>250102</v>
      </c>
      <c r="B75" s="105" t="s">
        <v>59</v>
      </c>
      <c r="C75" s="106">
        <v>33.5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</v>
      </c>
      <c r="AB75" s="104">
        <f t="shared" si="20"/>
        <v>-33.5</v>
      </c>
      <c r="AD75" s="67"/>
      <c r="AE75" s="67"/>
      <c r="AF75" s="67"/>
      <c r="AG75" s="68"/>
      <c r="AH75" s="68"/>
      <c r="AI75" s="68"/>
      <c r="AJ75" s="68"/>
      <c r="AK75" s="68"/>
      <c r="AL75" s="68"/>
      <c r="AM75" s="68"/>
      <c r="AN75" s="68"/>
    </row>
    <row r="76" spans="2:40" s="66" customFormat="1" ht="55.5">
      <c r="B76" s="105" t="s">
        <v>60</v>
      </c>
      <c r="C76" s="106">
        <v>2463.9</v>
      </c>
      <c r="D76" s="106"/>
      <c r="E76" s="106">
        <v>1231.95</v>
      </c>
      <c r="F76" s="106"/>
      <c r="G76" s="106"/>
      <c r="H76" s="106"/>
      <c r="I76" s="106"/>
      <c r="J76" s="106"/>
      <c r="K76" s="106"/>
      <c r="L76" s="106">
        <v>1231.95</v>
      </c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2463.9</v>
      </c>
      <c r="AB76" s="104">
        <f t="shared" si="20"/>
        <v>0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42">
      <c r="B77" s="105" t="s">
        <v>63</v>
      </c>
      <c r="C77" s="106">
        <v>0</v>
      </c>
      <c r="D77" s="106"/>
      <c r="E77" s="106"/>
      <c r="F77" s="106"/>
      <c r="G77" s="106"/>
      <c r="H77" s="106">
        <v>58.903</v>
      </c>
      <c r="I77" s="106"/>
      <c r="J77" s="106">
        <v>3.503</v>
      </c>
      <c r="K77" s="106">
        <v>3.746</v>
      </c>
      <c r="L77" s="106"/>
      <c r="M77" s="106">
        <v>11.368</v>
      </c>
      <c r="N77" s="106">
        <v>5.684</v>
      </c>
      <c r="O77" s="106">
        <v>141.097</v>
      </c>
      <c r="P77" s="106">
        <v>60.06</v>
      </c>
      <c r="Q77" s="106">
        <v>269.834</v>
      </c>
      <c r="R77" s="106">
        <v>2</v>
      </c>
      <c r="S77" s="106">
        <v>45.263</v>
      </c>
      <c r="T77" s="106">
        <v>290.166</v>
      </c>
      <c r="U77" s="106">
        <v>1</v>
      </c>
      <c r="V77" s="106"/>
      <c r="W77" s="106"/>
      <c r="X77" s="106"/>
      <c r="Y77" s="106"/>
      <c r="Z77" s="106"/>
      <c r="AA77" s="106">
        <f t="shared" si="19"/>
        <v>892.624</v>
      </c>
      <c r="AB77" s="104">
        <f t="shared" si="20"/>
        <v>892.624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15">
      <c r="B78" s="120" t="s">
        <v>64</v>
      </c>
      <c r="C78" s="121">
        <f>SUM(C79:C85)</f>
        <v>28625.846000000005</v>
      </c>
      <c r="D78" s="121">
        <f aca="true" t="shared" si="21" ref="D78:AA78">SUM(D79:D85)</f>
        <v>0</v>
      </c>
      <c r="E78" s="121">
        <f t="shared" si="21"/>
        <v>1231.95</v>
      </c>
      <c r="F78" s="121">
        <f t="shared" si="21"/>
        <v>557.176</v>
      </c>
      <c r="G78" s="121">
        <f t="shared" si="21"/>
        <v>810.696</v>
      </c>
      <c r="H78" s="121">
        <f t="shared" si="21"/>
        <v>215.772</v>
      </c>
      <c r="I78" s="121">
        <f t="shared" si="21"/>
        <v>942.0870000000001</v>
      </c>
      <c r="J78" s="121">
        <f t="shared" si="21"/>
        <v>462.245</v>
      </c>
      <c r="K78" s="121">
        <f t="shared" si="21"/>
        <v>4471.869</v>
      </c>
      <c r="L78" s="121">
        <f t="shared" si="21"/>
        <v>1393.6200000000001</v>
      </c>
      <c r="M78" s="121">
        <f t="shared" si="21"/>
        <v>984.467</v>
      </c>
      <c r="N78" s="121">
        <f t="shared" si="21"/>
        <v>7.884</v>
      </c>
      <c r="O78" s="121">
        <f t="shared" si="21"/>
        <v>313.611</v>
      </c>
      <c r="P78" s="121">
        <f t="shared" si="21"/>
        <v>575.432</v>
      </c>
      <c r="Q78" s="121">
        <f t="shared" si="21"/>
        <v>601.136</v>
      </c>
      <c r="R78" s="121">
        <f t="shared" si="21"/>
        <v>1493.3070000000002</v>
      </c>
      <c r="S78" s="121">
        <f t="shared" si="21"/>
        <v>3310.1059999999998</v>
      </c>
      <c r="T78" s="121">
        <f>SUM(T79:T85)</f>
        <v>3395.114</v>
      </c>
      <c r="U78" s="121">
        <f t="shared" si="21"/>
        <v>12.963000000000001</v>
      </c>
      <c r="V78" s="121">
        <f t="shared" si="21"/>
        <v>0</v>
      </c>
      <c r="W78" s="121">
        <f t="shared" si="21"/>
        <v>0</v>
      </c>
      <c r="X78" s="121">
        <f t="shared" si="21"/>
        <v>0</v>
      </c>
      <c r="Y78" s="121">
        <f t="shared" si="21"/>
        <v>0</v>
      </c>
      <c r="Z78" s="121">
        <f t="shared" si="21"/>
        <v>0</v>
      </c>
      <c r="AA78" s="121">
        <f t="shared" si="21"/>
        <v>20779.435</v>
      </c>
      <c r="AB78" s="104">
        <f t="shared" si="20"/>
        <v>-7846.411000000004</v>
      </c>
      <c r="AC78" s="69"/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1:40" s="72" customFormat="1" ht="15">
      <c r="A79" s="69"/>
      <c r="B79" s="107" t="s">
        <v>20</v>
      </c>
      <c r="C79" s="108">
        <f>C20+C36+C42+C46+C50+C53+C58+C24</f>
        <v>13938.080000000002</v>
      </c>
      <c r="D79" s="108">
        <f aca="true" t="shared" si="22" ref="D79:AA79">D20+D36+D42+D46+D50+D53+D58+D24</f>
        <v>0</v>
      </c>
      <c r="E79" s="108">
        <f t="shared" si="22"/>
        <v>0</v>
      </c>
      <c r="F79" s="108">
        <f t="shared" si="22"/>
        <v>14.531</v>
      </c>
      <c r="G79" s="108">
        <f t="shared" si="22"/>
        <v>3.992</v>
      </c>
      <c r="H79" s="108">
        <f t="shared" si="22"/>
        <v>42.49</v>
      </c>
      <c r="I79" s="108">
        <f t="shared" si="22"/>
        <v>663.205</v>
      </c>
      <c r="J79" s="108">
        <f t="shared" si="22"/>
        <v>216.953</v>
      </c>
      <c r="K79" s="108">
        <f t="shared" si="22"/>
        <v>3659.96</v>
      </c>
      <c r="L79" s="108">
        <f t="shared" si="22"/>
        <v>159.049</v>
      </c>
      <c r="M79" s="108">
        <f t="shared" si="22"/>
        <v>182.706</v>
      </c>
      <c r="N79" s="108">
        <f t="shared" si="22"/>
        <v>0</v>
      </c>
      <c r="O79" s="108">
        <f t="shared" si="22"/>
        <v>0</v>
      </c>
      <c r="P79" s="108">
        <f t="shared" si="22"/>
        <v>0</v>
      </c>
      <c r="Q79" s="108">
        <f t="shared" si="22"/>
        <v>153.529</v>
      </c>
      <c r="R79" s="108">
        <f t="shared" si="22"/>
        <v>1087.208</v>
      </c>
      <c r="S79" s="108">
        <f t="shared" si="22"/>
        <v>2752.625</v>
      </c>
      <c r="T79" s="108">
        <f t="shared" si="22"/>
        <v>2798.742</v>
      </c>
      <c r="U79" s="108">
        <f t="shared" si="22"/>
        <v>0</v>
      </c>
      <c r="V79" s="108">
        <f t="shared" si="22"/>
        <v>0</v>
      </c>
      <c r="W79" s="108">
        <f t="shared" si="22"/>
        <v>0</v>
      </c>
      <c r="X79" s="108">
        <f t="shared" si="22"/>
        <v>0</v>
      </c>
      <c r="Y79" s="108">
        <f t="shared" si="22"/>
        <v>0</v>
      </c>
      <c r="Z79" s="108">
        <f t="shared" si="22"/>
        <v>0</v>
      </c>
      <c r="AA79" s="108">
        <f t="shared" si="22"/>
        <v>11734.990000000002</v>
      </c>
      <c r="AB79" s="104">
        <f t="shared" si="20"/>
        <v>-2203.09</v>
      </c>
      <c r="AC79" s="69"/>
      <c r="AG79" s="73"/>
      <c r="AH79" s="73"/>
      <c r="AI79" s="73"/>
      <c r="AJ79" s="73"/>
      <c r="AK79" s="73"/>
      <c r="AL79" s="73"/>
      <c r="AM79" s="73"/>
      <c r="AN79" s="73"/>
    </row>
    <row r="80" spans="1:40" s="72" customFormat="1" ht="15">
      <c r="A80" s="69"/>
      <c r="B80" s="107" t="s">
        <v>29</v>
      </c>
      <c r="C80" s="108">
        <f>C25+C37+C59</f>
        <v>13.299999999999999</v>
      </c>
      <c r="D80" s="108">
        <f aca="true" t="shared" si="23" ref="D80:AA80">D25+D37+D59</f>
        <v>0</v>
      </c>
      <c r="E80" s="108">
        <f t="shared" si="23"/>
        <v>0</v>
      </c>
      <c r="F80" s="108">
        <f t="shared" si="23"/>
        <v>0</v>
      </c>
      <c r="G80" s="108">
        <f t="shared" si="23"/>
        <v>0</v>
      </c>
      <c r="H80" s="108">
        <f t="shared" si="23"/>
        <v>0</v>
      </c>
      <c r="I80" s="108">
        <f t="shared" si="23"/>
        <v>3.596</v>
      </c>
      <c r="J80" s="108">
        <f t="shared" si="23"/>
        <v>0</v>
      </c>
      <c r="K80" s="108">
        <f t="shared" si="23"/>
        <v>0</v>
      </c>
      <c r="L80" s="108">
        <f t="shared" si="23"/>
        <v>0</v>
      </c>
      <c r="M80" s="108">
        <f t="shared" si="23"/>
        <v>0</v>
      </c>
      <c r="N80" s="108">
        <f t="shared" si="23"/>
        <v>0</v>
      </c>
      <c r="O80" s="108">
        <f t="shared" si="23"/>
        <v>0</v>
      </c>
      <c r="P80" s="108">
        <f t="shared" si="23"/>
        <v>0</v>
      </c>
      <c r="Q80" s="108">
        <f t="shared" si="23"/>
        <v>0</v>
      </c>
      <c r="R80" s="108">
        <f t="shared" si="23"/>
        <v>0</v>
      </c>
      <c r="S80" s="108">
        <f t="shared" si="23"/>
        <v>0</v>
      </c>
      <c r="T80" s="108">
        <f t="shared" si="23"/>
        <v>2.099</v>
      </c>
      <c r="U80" s="108">
        <f t="shared" si="23"/>
        <v>0</v>
      </c>
      <c r="V80" s="108">
        <f t="shared" si="23"/>
        <v>0</v>
      </c>
      <c r="W80" s="108">
        <f t="shared" si="23"/>
        <v>0</v>
      </c>
      <c r="X80" s="108">
        <f t="shared" si="23"/>
        <v>0</v>
      </c>
      <c r="Y80" s="108">
        <f t="shared" si="23"/>
        <v>0</v>
      </c>
      <c r="Z80" s="108">
        <f t="shared" si="23"/>
        <v>0</v>
      </c>
      <c r="AA80" s="108">
        <f t="shared" si="23"/>
        <v>5.695</v>
      </c>
      <c r="AB80" s="104">
        <f t="shared" si="20"/>
        <v>-7.604999999999999</v>
      </c>
      <c r="AC80" s="69"/>
      <c r="AG80" s="73"/>
      <c r="AH80" s="73"/>
      <c r="AI80" s="73"/>
      <c r="AJ80" s="73"/>
      <c r="AK80" s="73"/>
      <c r="AL80" s="73"/>
      <c r="AM80" s="73"/>
      <c r="AN80" s="73"/>
    </row>
    <row r="81" spans="1:40" s="72" customFormat="1" ht="15">
      <c r="A81" s="69"/>
      <c r="B81" s="107" t="s">
        <v>31</v>
      </c>
      <c r="C81" s="108">
        <f>C26+C38</f>
        <v>856.8309999999999</v>
      </c>
      <c r="D81" s="108">
        <f aca="true" t="shared" si="24" ref="D81:AA81">D26+D38</f>
        <v>0</v>
      </c>
      <c r="E81" s="108">
        <f t="shared" si="24"/>
        <v>0</v>
      </c>
      <c r="F81" s="108">
        <f t="shared" si="24"/>
        <v>21.651</v>
      </c>
      <c r="G81" s="108">
        <f t="shared" si="24"/>
        <v>34.968</v>
      </c>
      <c r="H81" s="108">
        <f t="shared" si="24"/>
        <v>27.49</v>
      </c>
      <c r="I81" s="108">
        <f t="shared" si="24"/>
        <v>75.629</v>
      </c>
      <c r="J81" s="108">
        <f t="shared" si="24"/>
        <v>26.915</v>
      </c>
      <c r="K81" s="108">
        <f t="shared" si="24"/>
        <v>88.781</v>
      </c>
      <c r="L81" s="108">
        <f t="shared" si="24"/>
        <v>0</v>
      </c>
      <c r="M81" s="108">
        <f t="shared" si="24"/>
        <v>70.927</v>
      </c>
      <c r="N81" s="108">
        <f t="shared" si="24"/>
        <v>0</v>
      </c>
      <c r="O81" s="108">
        <f t="shared" si="24"/>
        <v>16.704</v>
      </c>
      <c r="P81" s="108">
        <f t="shared" si="24"/>
        <v>0</v>
      </c>
      <c r="Q81" s="108">
        <f t="shared" si="24"/>
        <v>49.94</v>
      </c>
      <c r="R81" s="108">
        <f t="shared" si="24"/>
        <v>114.094</v>
      </c>
      <c r="S81" s="108">
        <f t="shared" si="24"/>
        <v>45.5</v>
      </c>
      <c r="T81" s="108">
        <f t="shared" si="24"/>
        <v>94.803</v>
      </c>
      <c r="U81" s="108">
        <f t="shared" si="24"/>
        <v>0</v>
      </c>
      <c r="V81" s="108">
        <f t="shared" si="24"/>
        <v>0</v>
      </c>
      <c r="W81" s="108">
        <f t="shared" si="24"/>
        <v>0</v>
      </c>
      <c r="X81" s="108">
        <f t="shared" si="24"/>
        <v>0</v>
      </c>
      <c r="Y81" s="108">
        <f t="shared" si="24"/>
        <v>0</v>
      </c>
      <c r="Z81" s="108">
        <f t="shared" si="24"/>
        <v>0</v>
      </c>
      <c r="AA81" s="108">
        <f t="shared" si="24"/>
        <v>667.4019999999999</v>
      </c>
      <c r="AB81" s="104">
        <f t="shared" si="20"/>
        <v>-189.42899999999997</v>
      </c>
      <c r="AC81" s="69"/>
      <c r="AG81" s="73"/>
      <c r="AH81" s="73"/>
      <c r="AI81" s="73"/>
      <c r="AJ81" s="73"/>
      <c r="AK81" s="73"/>
      <c r="AL81" s="73"/>
      <c r="AM81" s="73"/>
      <c r="AN81" s="73"/>
    </row>
    <row r="82" spans="1:40" s="72" customFormat="1" ht="15">
      <c r="A82" s="69"/>
      <c r="B82" s="107" t="s">
        <v>22</v>
      </c>
      <c r="C82" s="108">
        <f>C21+C27+C39+C43+C47+C54+C60+C67</f>
        <v>5506.1889999999985</v>
      </c>
      <c r="D82" s="108">
        <f aca="true" t="shared" si="25" ref="D82:AA82">D21+D27+D39+D43+D47+D54+D60+D67</f>
        <v>0</v>
      </c>
      <c r="E82" s="108">
        <f t="shared" si="25"/>
        <v>0</v>
      </c>
      <c r="F82" s="108">
        <f t="shared" si="25"/>
        <v>434.286</v>
      </c>
      <c r="G82" s="108">
        <f t="shared" si="25"/>
        <v>71.31700000000001</v>
      </c>
      <c r="H82" s="108">
        <f t="shared" si="25"/>
        <v>29.976</v>
      </c>
      <c r="I82" s="108">
        <f t="shared" si="25"/>
        <v>72.98599999999999</v>
      </c>
      <c r="J82" s="108">
        <f t="shared" si="25"/>
        <v>155.352</v>
      </c>
      <c r="K82" s="108">
        <f t="shared" si="25"/>
        <v>628.643</v>
      </c>
      <c r="L82" s="108">
        <f t="shared" si="25"/>
        <v>2.621</v>
      </c>
      <c r="M82" s="108">
        <f t="shared" si="25"/>
        <v>634.0500000000001</v>
      </c>
      <c r="N82" s="108">
        <f t="shared" si="25"/>
        <v>0</v>
      </c>
      <c r="O82" s="108">
        <f t="shared" si="25"/>
        <v>114.10000000000001</v>
      </c>
      <c r="P82" s="108">
        <f t="shared" si="25"/>
        <v>8.344</v>
      </c>
      <c r="Q82" s="108">
        <f t="shared" si="25"/>
        <v>48.356</v>
      </c>
      <c r="R82" s="108">
        <f t="shared" si="25"/>
        <v>246.81500000000003</v>
      </c>
      <c r="S82" s="108">
        <f t="shared" si="25"/>
        <v>99.506</v>
      </c>
      <c r="T82" s="108">
        <f t="shared" si="25"/>
        <v>40.149</v>
      </c>
      <c r="U82" s="108">
        <f t="shared" si="25"/>
        <v>0</v>
      </c>
      <c r="V82" s="108">
        <f t="shared" si="25"/>
        <v>0</v>
      </c>
      <c r="W82" s="108">
        <f t="shared" si="25"/>
        <v>0</v>
      </c>
      <c r="X82" s="108">
        <f t="shared" si="25"/>
        <v>0</v>
      </c>
      <c r="Y82" s="108">
        <f t="shared" si="25"/>
        <v>0</v>
      </c>
      <c r="Z82" s="108">
        <f t="shared" si="25"/>
        <v>0</v>
      </c>
      <c r="AA82" s="108">
        <f t="shared" si="25"/>
        <v>2586.5010000000007</v>
      </c>
      <c r="AB82" s="104">
        <f t="shared" si="20"/>
        <v>-2919.687999999998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">
      <c r="A83" s="69"/>
      <c r="B83" s="107" t="s">
        <v>47</v>
      </c>
      <c r="C83" s="108">
        <f>C55</f>
        <v>0.02</v>
      </c>
      <c r="D83" s="108">
        <f aca="true" t="shared" si="26" ref="D83:AA83">D55</f>
        <v>0</v>
      </c>
      <c r="E83" s="108">
        <f t="shared" si="26"/>
        <v>0</v>
      </c>
      <c r="F83" s="108">
        <f t="shared" si="26"/>
        <v>0</v>
      </c>
      <c r="G83" s="108">
        <f t="shared" si="26"/>
        <v>0</v>
      </c>
      <c r="H83" s="108">
        <f t="shared" si="26"/>
        <v>0</v>
      </c>
      <c r="I83" s="108">
        <f t="shared" si="26"/>
        <v>0</v>
      </c>
      <c r="J83" s="108">
        <f t="shared" si="26"/>
        <v>0</v>
      </c>
      <c r="K83" s="108">
        <f t="shared" si="26"/>
        <v>0</v>
      </c>
      <c r="L83" s="108">
        <f t="shared" si="26"/>
        <v>0</v>
      </c>
      <c r="M83" s="108">
        <f t="shared" si="26"/>
        <v>0</v>
      </c>
      <c r="N83" s="108">
        <f t="shared" si="26"/>
        <v>0</v>
      </c>
      <c r="O83" s="108">
        <f t="shared" si="26"/>
        <v>0</v>
      </c>
      <c r="P83" s="108">
        <f t="shared" si="26"/>
        <v>0</v>
      </c>
      <c r="Q83" s="108">
        <f t="shared" si="26"/>
        <v>0</v>
      </c>
      <c r="R83" s="108">
        <f t="shared" si="26"/>
        <v>0</v>
      </c>
      <c r="S83" s="108">
        <f t="shared" si="26"/>
        <v>0</v>
      </c>
      <c r="T83" s="108">
        <f t="shared" si="26"/>
        <v>0</v>
      </c>
      <c r="U83" s="108">
        <f t="shared" si="26"/>
        <v>0</v>
      </c>
      <c r="V83" s="108">
        <f t="shared" si="26"/>
        <v>0</v>
      </c>
      <c r="W83" s="108">
        <f t="shared" si="26"/>
        <v>0</v>
      </c>
      <c r="X83" s="108">
        <f t="shared" si="26"/>
        <v>0</v>
      </c>
      <c r="Y83" s="108">
        <f t="shared" si="26"/>
        <v>0</v>
      </c>
      <c r="Z83" s="108">
        <f t="shared" si="26"/>
        <v>0</v>
      </c>
      <c r="AA83" s="108">
        <f t="shared" si="26"/>
        <v>0</v>
      </c>
      <c r="AB83" s="104">
        <f t="shared" si="20"/>
        <v>-0.02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">
      <c r="A84" s="69"/>
      <c r="B84" s="107" t="s">
        <v>35</v>
      </c>
      <c r="C84" s="108">
        <f>C30+C51+C61+C65+C76+C31+C68</f>
        <v>5761.121000000001</v>
      </c>
      <c r="D84" s="108">
        <f aca="true" t="shared" si="27" ref="D84:AA84">D30+D51+D61+D65+D76+D31+D68</f>
        <v>0</v>
      </c>
      <c r="E84" s="108">
        <f t="shared" si="27"/>
        <v>1231.95</v>
      </c>
      <c r="F84" s="108">
        <f t="shared" si="27"/>
        <v>3.361</v>
      </c>
      <c r="G84" s="108">
        <f t="shared" si="27"/>
        <v>674.707</v>
      </c>
      <c r="H84" s="108">
        <f t="shared" si="27"/>
        <v>7.907</v>
      </c>
      <c r="I84" s="108">
        <f t="shared" si="27"/>
        <v>82.864</v>
      </c>
      <c r="J84" s="108">
        <f t="shared" si="27"/>
        <v>0</v>
      </c>
      <c r="K84" s="108">
        <f t="shared" si="27"/>
        <v>29.794999999999998</v>
      </c>
      <c r="L84" s="108">
        <f t="shared" si="27"/>
        <v>1231.95</v>
      </c>
      <c r="M84" s="108">
        <f t="shared" si="27"/>
        <v>23.987</v>
      </c>
      <c r="N84" s="108">
        <f t="shared" si="27"/>
        <v>0</v>
      </c>
      <c r="O84" s="108">
        <f t="shared" si="27"/>
        <v>0</v>
      </c>
      <c r="P84" s="108">
        <f t="shared" si="27"/>
        <v>451.871</v>
      </c>
      <c r="Q84" s="108">
        <f t="shared" si="27"/>
        <v>72.59</v>
      </c>
      <c r="R84" s="108">
        <f t="shared" si="27"/>
        <v>17.335</v>
      </c>
      <c r="S84" s="108">
        <f t="shared" si="27"/>
        <v>0</v>
      </c>
      <c r="T84" s="108">
        <f t="shared" si="27"/>
        <v>51.92</v>
      </c>
      <c r="U84" s="108">
        <f t="shared" si="27"/>
        <v>10.343</v>
      </c>
      <c r="V84" s="108">
        <f t="shared" si="27"/>
        <v>0</v>
      </c>
      <c r="W84" s="108">
        <f t="shared" si="27"/>
        <v>0</v>
      </c>
      <c r="X84" s="108">
        <f t="shared" si="27"/>
        <v>0</v>
      </c>
      <c r="Y84" s="108">
        <f t="shared" si="27"/>
        <v>0</v>
      </c>
      <c r="Z84" s="108">
        <f t="shared" si="27"/>
        <v>0</v>
      </c>
      <c r="AA84" s="108">
        <f t="shared" si="27"/>
        <v>3890.5800000000004</v>
      </c>
      <c r="AB84" s="104">
        <f t="shared" si="20"/>
        <v>-1870.5410000000006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">
      <c r="A85" s="69"/>
      <c r="B85" s="107" t="s">
        <v>24</v>
      </c>
      <c r="C85" s="108">
        <f>C22+C28+C32+C33+C40+C44+C48+C56+C62+C71+C74+C75+C77+C64+C73+C72+C34+C69</f>
        <v>2550.305</v>
      </c>
      <c r="D85" s="108">
        <f aca="true" t="shared" si="28" ref="D85:AA85">D22+D28+D32+D33+D40+D44+D48+D56+D62+D71+D74+D75+D77+D64+D73+D72+D34+D69</f>
        <v>0</v>
      </c>
      <c r="E85" s="108">
        <f t="shared" si="28"/>
        <v>0</v>
      </c>
      <c r="F85" s="108">
        <f t="shared" si="28"/>
        <v>83.347</v>
      </c>
      <c r="G85" s="108">
        <f t="shared" si="28"/>
        <v>25.712000000000003</v>
      </c>
      <c r="H85" s="108">
        <f t="shared" si="28"/>
        <v>107.90899999999999</v>
      </c>
      <c r="I85" s="108">
        <f t="shared" si="28"/>
        <v>43.80700000000001</v>
      </c>
      <c r="J85" s="108">
        <f t="shared" si="28"/>
        <v>63.025000000000006</v>
      </c>
      <c r="K85" s="108">
        <f t="shared" si="28"/>
        <v>64.69</v>
      </c>
      <c r="L85" s="108">
        <f t="shared" si="28"/>
        <v>0</v>
      </c>
      <c r="M85" s="108">
        <f t="shared" si="28"/>
        <v>72.797</v>
      </c>
      <c r="N85" s="108">
        <f t="shared" si="28"/>
        <v>7.884</v>
      </c>
      <c r="O85" s="108">
        <f t="shared" si="28"/>
        <v>182.80700000000002</v>
      </c>
      <c r="P85" s="108">
        <f t="shared" si="28"/>
        <v>115.21700000000001</v>
      </c>
      <c r="Q85" s="108">
        <f t="shared" si="28"/>
        <v>276.721</v>
      </c>
      <c r="R85" s="108">
        <f t="shared" si="28"/>
        <v>27.855</v>
      </c>
      <c r="S85" s="108">
        <f t="shared" si="28"/>
        <v>412.47499999999997</v>
      </c>
      <c r="T85" s="108">
        <f t="shared" si="28"/>
        <v>407.401</v>
      </c>
      <c r="U85" s="108">
        <f t="shared" si="28"/>
        <v>2.62</v>
      </c>
      <c r="V85" s="108">
        <f t="shared" si="28"/>
        <v>0</v>
      </c>
      <c r="W85" s="108">
        <f t="shared" si="28"/>
        <v>0</v>
      </c>
      <c r="X85" s="108">
        <f t="shared" si="28"/>
        <v>0</v>
      </c>
      <c r="Y85" s="108">
        <f t="shared" si="28"/>
        <v>0</v>
      </c>
      <c r="Z85" s="108">
        <f t="shared" si="28"/>
        <v>0</v>
      </c>
      <c r="AA85" s="108">
        <f t="shared" si="28"/>
        <v>1894.2670000000003</v>
      </c>
      <c r="AB85" s="104">
        <f t="shared" si="20"/>
        <v>-656.0379999999996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">
      <c r="A86" s="69"/>
      <c r="B86" s="69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71"/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">
      <c r="A87" s="69"/>
      <c r="B87" s="69" t="s">
        <v>65</v>
      </c>
      <c r="C87" s="124">
        <f aca="true" t="shared" si="29" ref="C87:Y87">C18-C78</f>
        <v>0</v>
      </c>
      <c r="D87" s="125">
        <f t="shared" si="29"/>
        <v>0</v>
      </c>
      <c r="E87" s="125">
        <f t="shared" si="29"/>
        <v>0</v>
      </c>
      <c r="F87" s="125">
        <f t="shared" si="29"/>
        <v>0</v>
      </c>
      <c r="G87" s="125">
        <f t="shared" si="29"/>
        <v>0</v>
      </c>
      <c r="H87" s="125">
        <f t="shared" si="29"/>
        <v>0</v>
      </c>
      <c r="I87" s="125">
        <f t="shared" si="29"/>
        <v>0</v>
      </c>
      <c r="J87" s="125">
        <f t="shared" si="29"/>
        <v>0</v>
      </c>
      <c r="K87" s="125">
        <f t="shared" si="29"/>
        <v>0</v>
      </c>
      <c r="L87" s="125">
        <f t="shared" si="29"/>
        <v>0</v>
      </c>
      <c r="M87" s="125">
        <f t="shared" si="29"/>
        <v>0</v>
      </c>
      <c r="N87" s="125">
        <f t="shared" si="29"/>
        <v>0</v>
      </c>
      <c r="O87" s="125">
        <f t="shared" si="29"/>
        <v>0</v>
      </c>
      <c r="P87" s="125">
        <f t="shared" si="29"/>
        <v>0</v>
      </c>
      <c r="Q87" s="125">
        <f t="shared" si="29"/>
        <v>0</v>
      </c>
      <c r="R87" s="125">
        <f t="shared" si="29"/>
        <v>0</v>
      </c>
      <c r="S87" s="125">
        <f t="shared" si="29"/>
        <v>0</v>
      </c>
      <c r="T87" s="125">
        <f t="shared" si="29"/>
        <v>0</v>
      </c>
      <c r="U87" s="125">
        <f t="shared" si="29"/>
        <v>0</v>
      </c>
      <c r="V87" s="125">
        <f t="shared" si="29"/>
        <v>0</v>
      </c>
      <c r="W87" s="125">
        <f t="shared" si="29"/>
        <v>0</v>
      </c>
      <c r="X87" s="125">
        <f t="shared" si="29"/>
        <v>0</v>
      </c>
      <c r="Y87" s="125">
        <f t="shared" si="29"/>
        <v>0</v>
      </c>
      <c r="Z87" s="125"/>
      <c r="AA87" s="125">
        <f>AA18-AA78</f>
        <v>0</v>
      </c>
      <c r="AB87" s="71"/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">
      <c r="A88" s="69"/>
      <c r="B88" s="69"/>
      <c r="C88" s="126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71"/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">
      <c r="A89" s="69"/>
      <c r="B89" s="69"/>
      <c r="C89" s="126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1" spans="1:40" s="72" customFormat="1" ht="1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127"/>
      <c r="AG91" s="73"/>
      <c r="AH91" s="73"/>
      <c r="AI91" s="73"/>
      <c r="AJ91" s="73"/>
      <c r="AK91" s="73"/>
      <c r="AL91" s="73"/>
      <c r="AM91" s="73"/>
      <c r="AN91" s="73"/>
    </row>
    <row r="170" ht="15">
      <c r="B170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75" zoomScaleNormal="70" zoomScaleSheetLayoutView="75" workbookViewId="0" topLeftCell="B1">
      <pane xSplit="4260" ySplit="2268" topLeftCell="B1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3" width="8.7109375" style="69" customWidth="1"/>
    <col min="24" max="24" width="8.7109375" style="69" hidden="1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7.25">
      <c r="B3" s="137" t="s">
        <v>71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">
      <c r="B4" s="69" t="s">
        <v>0</v>
      </c>
      <c r="AA4" s="70" t="s">
        <v>1</v>
      </c>
    </row>
    <row r="5" spans="2:27" ht="69">
      <c r="B5" s="74" t="s">
        <v>2</v>
      </c>
      <c r="C5" s="75" t="s">
        <v>3</v>
      </c>
      <c r="D5" s="76">
        <v>1</v>
      </c>
      <c r="E5" s="74">
        <v>4</v>
      </c>
      <c r="F5" s="74">
        <v>5</v>
      </c>
      <c r="G5" s="74">
        <v>6</v>
      </c>
      <c r="H5" s="74">
        <v>7</v>
      </c>
      <c r="I5" s="74">
        <v>11</v>
      </c>
      <c r="J5" s="77">
        <v>12</v>
      </c>
      <c r="K5" s="74">
        <v>13</v>
      </c>
      <c r="L5" s="74">
        <v>14</v>
      </c>
      <c r="M5" s="74">
        <v>15</v>
      </c>
      <c r="N5" s="74">
        <v>18</v>
      </c>
      <c r="O5" s="74">
        <v>19</v>
      </c>
      <c r="P5" s="74">
        <v>20</v>
      </c>
      <c r="Q5" s="74">
        <v>21</v>
      </c>
      <c r="R5" s="74">
        <v>22</v>
      </c>
      <c r="S5" s="74">
        <v>25</v>
      </c>
      <c r="T5" s="74">
        <v>26</v>
      </c>
      <c r="U5" s="74">
        <v>27</v>
      </c>
      <c r="V5" s="77">
        <v>28</v>
      </c>
      <c r="W5" s="74">
        <v>29</v>
      </c>
      <c r="X5" s="77"/>
      <c r="Y5" s="77"/>
      <c r="Z5" s="77"/>
      <c r="AA5" s="76" t="s">
        <v>4</v>
      </c>
    </row>
    <row r="6" spans="2:27" ht="27">
      <c r="B6" s="78" t="s">
        <v>5</v>
      </c>
      <c r="C6" s="79">
        <f>SUM(D6:Y6)</f>
        <v>0</v>
      </c>
      <c r="D6" s="80"/>
      <c r="E6" s="81"/>
      <c r="F6" s="82"/>
      <c r="G6" s="81"/>
      <c r="H6" s="82"/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27" ht="15">
      <c r="B7" s="84" t="s">
        <v>6</v>
      </c>
      <c r="C7" s="79">
        <f>SUM(D7:Y7)</f>
        <v>3600.3</v>
      </c>
      <c r="D7" s="85">
        <v>1800.1</v>
      </c>
      <c r="E7" s="81"/>
      <c r="F7" s="81"/>
      <c r="G7" s="81"/>
      <c r="H7" s="81"/>
      <c r="I7" s="81">
        <v>1800.2</v>
      </c>
      <c r="J7" s="86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</row>
    <row r="8" spans="2:27" ht="15">
      <c r="B8" s="87" t="s">
        <v>8</v>
      </c>
      <c r="C8" s="88">
        <f aca="true" t="shared" si="0" ref="C8:C16">SUM(D8:Z8)</f>
        <v>16008.3</v>
      </c>
      <c r="D8" s="89">
        <f aca="true" t="shared" si="1" ref="D8:Y8">SUM(D9:D16)</f>
        <v>198.5</v>
      </c>
      <c r="E8" s="89">
        <f t="shared" si="1"/>
        <v>270.9</v>
      </c>
      <c r="F8" s="89">
        <f t="shared" si="1"/>
        <v>321.9</v>
      </c>
      <c r="G8" s="89">
        <f t="shared" si="1"/>
        <v>669.2</v>
      </c>
      <c r="H8" s="89">
        <f t="shared" si="1"/>
        <v>2973.5</v>
      </c>
      <c r="I8" s="89">
        <f>SUM(I9:I16)</f>
        <v>198.10000000000002</v>
      </c>
      <c r="J8" s="89">
        <f t="shared" si="1"/>
        <v>220.9</v>
      </c>
      <c r="K8" s="89">
        <f>SUM(K9:K16)</f>
        <v>543.7</v>
      </c>
      <c r="L8" s="89">
        <f t="shared" si="1"/>
        <v>678.3000000000001</v>
      </c>
      <c r="M8" s="89">
        <f t="shared" si="1"/>
        <v>857.7999999999998</v>
      </c>
      <c r="N8" s="89">
        <f t="shared" si="1"/>
        <v>510.3</v>
      </c>
      <c r="O8" s="89">
        <f t="shared" si="1"/>
        <v>531.2</v>
      </c>
      <c r="P8" s="89">
        <f t="shared" si="1"/>
        <v>823.2000000000002</v>
      </c>
      <c r="Q8" s="89">
        <f t="shared" si="1"/>
        <v>997.7</v>
      </c>
      <c r="R8" s="89">
        <f t="shared" si="1"/>
        <v>798.2</v>
      </c>
      <c r="S8" s="89">
        <f>SUM(S9:S16)</f>
        <v>499.8</v>
      </c>
      <c r="T8" s="89">
        <f>SUM(T9:T16)</f>
        <v>932.7</v>
      </c>
      <c r="U8" s="89">
        <f t="shared" si="1"/>
        <v>1999.8000000000002</v>
      </c>
      <c r="V8" s="89">
        <f t="shared" si="1"/>
        <v>1358.8</v>
      </c>
      <c r="W8" s="89">
        <f t="shared" si="1"/>
        <v>623.8000000000001</v>
      </c>
      <c r="X8" s="89">
        <f t="shared" si="1"/>
        <v>0</v>
      </c>
      <c r="Y8" s="89">
        <f t="shared" si="1"/>
        <v>0</v>
      </c>
      <c r="Z8" s="89">
        <f>SUM(Z9:Z16)</f>
        <v>0</v>
      </c>
      <c r="AA8" s="89" t="s">
        <v>7</v>
      </c>
    </row>
    <row r="9" spans="2:40" s="94" customFormat="1" ht="15">
      <c r="B9" s="27" t="s">
        <v>9</v>
      </c>
      <c r="C9" s="90">
        <f t="shared" si="0"/>
        <v>10202.6</v>
      </c>
      <c r="D9" s="91">
        <v>98</v>
      </c>
      <c r="E9" s="86">
        <v>137.7</v>
      </c>
      <c r="F9" s="86">
        <v>260.4</v>
      </c>
      <c r="G9" s="86">
        <v>549.4</v>
      </c>
      <c r="H9" s="86">
        <v>2903.3</v>
      </c>
      <c r="I9" s="86">
        <v>63.8</v>
      </c>
      <c r="J9" s="86">
        <v>150.3</v>
      </c>
      <c r="K9" s="86">
        <v>453.8</v>
      </c>
      <c r="L9" s="86">
        <v>375.3</v>
      </c>
      <c r="M9" s="86">
        <v>540.3</v>
      </c>
      <c r="N9" s="86">
        <v>141.8</v>
      </c>
      <c r="O9" s="86">
        <v>312.5</v>
      </c>
      <c r="P9" s="86">
        <v>684.5</v>
      </c>
      <c r="Q9" s="86">
        <v>882.5</v>
      </c>
      <c r="R9" s="92">
        <v>582.9</v>
      </c>
      <c r="S9" s="92">
        <v>243.9</v>
      </c>
      <c r="T9" s="86">
        <v>364.9</v>
      </c>
      <c r="U9" s="92">
        <v>301.3</v>
      </c>
      <c r="V9" s="86">
        <v>778.9</v>
      </c>
      <c r="W9" s="86">
        <v>377.1</v>
      </c>
      <c r="X9" s="86"/>
      <c r="Y9" s="86"/>
      <c r="Z9" s="86"/>
      <c r="AA9" s="91"/>
      <c r="AB9" s="93"/>
      <c r="AD9" s="95"/>
      <c r="AE9" s="96"/>
      <c r="AF9" s="96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6"/>
      <c r="AE10" s="96"/>
      <c r="AF10" s="96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323.49999999999994</v>
      </c>
      <c r="D11" s="91">
        <v>31.6</v>
      </c>
      <c r="E11" s="86">
        <v>2</v>
      </c>
      <c r="F11" s="86">
        <v>0.4</v>
      </c>
      <c r="G11" s="86">
        <v>0.3</v>
      </c>
      <c r="H11" s="86">
        <v>0.6</v>
      </c>
      <c r="I11" s="86">
        <v>28.5</v>
      </c>
      <c r="J11" s="86">
        <v>1.7</v>
      </c>
      <c r="K11" s="86">
        <v>2.7</v>
      </c>
      <c r="L11" s="86">
        <v>-0.9</v>
      </c>
      <c r="M11" s="86">
        <v>1.3</v>
      </c>
      <c r="N11" s="86">
        <v>4.8</v>
      </c>
      <c r="O11" s="86">
        <v>3.1</v>
      </c>
      <c r="P11" s="86">
        <v>3.3</v>
      </c>
      <c r="Q11" s="86">
        <v>0.8</v>
      </c>
      <c r="R11" s="92">
        <v>2.7</v>
      </c>
      <c r="S11" s="92">
        <v>78.6</v>
      </c>
      <c r="T11" s="86">
        <v>49.8</v>
      </c>
      <c r="U11" s="92">
        <v>74.2</v>
      </c>
      <c r="V11" s="86">
        <v>2.9</v>
      </c>
      <c r="W11" s="86">
        <v>35.1</v>
      </c>
      <c r="X11" s="86"/>
      <c r="Y11" s="86"/>
      <c r="Z11" s="86"/>
      <c r="AA11" s="91"/>
      <c r="AB11" s="93"/>
      <c r="AD11" s="96"/>
      <c r="AE11" s="96"/>
      <c r="AF11" s="96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">
      <c r="B12" s="27" t="s">
        <v>12</v>
      </c>
      <c r="C12" s="90">
        <f t="shared" si="0"/>
        <v>1012.5</v>
      </c>
      <c r="D12" s="91">
        <v>1.3</v>
      </c>
      <c r="E12" s="86">
        <v>6.2</v>
      </c>
      <c r="F12" s="86">
        <v>0.9</v>
      </c>
      <c r="G12" s="86"/>
      <c r="H12" s="86">
        <v>0.5</v>
      </c>
      <c r="I12" s="86">
        <v>1.3</v>
      </c>
      <c r="J12" s="86"/>
      <c r="K12" s="86"/>
      <c r="L12" s="86">
        <v>6.9</v>
      </c>
      <c r="M12" s="86">
        <v>0.1</v>
      </c>
      <c r="N12" s="86">
        <v>14.1</v>
      </c>
      <c r="O12" s="86"/>
      <c r="P12" s="86">
        <v>0.2</v>
      </c>
      <c r="Q12" s="86">
        <v>58.6</v>
      </c>
      <c r="R12" s="92"/>
      <c r="S12" s="92">
        <v>20</v>
      </c>
      <c r="T12" s="86">
        <v>14.1</v>
      </c>
      <c r="U12" s="92">
        <v>740.3</v>
      </c>
      <c r="V12" s="86">
        <v>124.4</v>
      </c>
      <c r="W12" s="86">
        <v>23.6</v>
      </c>
      <c r="X12" s="86"/>
      <c r="Y12" s="86"/>
      <c r="Z12" s="86"/>
      <c r="AA12" s="91"/>
      <c r="AB12" s="93"/>
      <c r="AD12" s="95"/>
      <c r="AE12" s="96"/>
      <c r="AF12" s="96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">
      <c r="B13" s="27" t="s">
        <v>13</v>
      </c>
      <c r="C13" s="90">
        <f t="shared" si="0"/>
        <v>2525.6</v>
      </c>
      <c r="D13" s="91">
        <v>24.6</v>
      </c>
      <c r="E13" s="86">
        <v>35</v>
      </c>
      <c r="F13" s="86">
        <v>11.3</v>
      </c>
      <c r="G13" s="86">
        <v>10.2</v>
      </c>
      <c r="H13" s="86">
        <v>26.1</v>
      </c>
      <c r="I13" s="86">
        <v>12.3</v>
      </c>
      <c r="J13" s="86">
        <v>12.6</v>
      </c>
      <c r="K13" s="86">
        <v>20.8</v>
      </c>
      <c r="L13" s="86">
        <v>46.3</v>
      </c>
      <c r="M13" s="86">
        <v>169.4</v>
      </c>
      <c r="N13" s="86">
        <v>35.4</v>
      </c>
      <c r="O13" s="86">
        <v>59</v>
      </c>
      <c r="P13" s="86">
        <v>60.2</v>
      </c>
      <c r="Q13" s="86">
        <v>16.5</v>
      </c>
      <c r="R13" s="92">
        <v>133</v>
      </c>
      <c r="S13" s="92">
        <v>112</v>
      </c>
      <c r="T13" s="86">
        <v>444.9</v>
      </c>
      <c r="U13" s="92">
        <v>795.1</v>
      </c>
      <c r="V13" s="86">
        <v>366.8</v>
      </c>
      <c r="W13" s="86">
        <v>134.1</v>
      </c>
      <c r="X13" s="86"/>
      <c r="Y13" s="86"/>
      <c r="Z13" s="86"/>
      <c r="AA13" s="91"/>
      <c r="AB13" s="93"/>
      <c r="AD13" s="95"/>
      <c r="AE13" s="96"/>
      <c r="AF13" s="96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">
      <c r="B14" s="27" t="s">
        <v>14</v>
      </c>
      <c r="C14" s="90">
        <f t="shared" si="0"/>
        <v>1345</v>
      </c>
      <c r="D14" s="91">
        <v>7.6</v>
      </c>
      <c r="E14" s="86">
        <v>72.6</v>
      </c>
      <c r="F14" s="86">
        <v>27.5</v>
      </c>
      <c r="G14" s="86">
        <v>89.1</v>
      </c>
      <c r="H14" s="86">
        <v>21.5</v>
      </c>
      <c r="I14" s="86">
        <v>60.1</v>
      </c>
      <c r="J14" s="86">
        <v>39.6</v>
      </c>
      <c r="K14" s="86">
        <v>36.5</v>
      </c>
      <c r="L14" s="86">
        <v>143.9</v>
      </c>
      <c r="M14" s="86">
        <v>121.1</v>
      </c>
      <c r="N14" s="86">
        <v>286.9</v>
      </c>
      <c r="O14" s="86">
        <v>133.7</v>
      </c>
      <c r="P14" s="86">
        <v>43.7</v>
      </c>
      <c r="Q14" s="86">
        <v>17</v>
      </c>
      <c r="R14" s="92">
        <v>67.6</v>
      </c>
      <c r="S14" s="92">
        <v>25.5</v>
      </c>
      <c r="T14" s="86">
        <v>13.3</v>
      </c>
      <c r="U14" s="92">
        <v>60.5</v>
      </c>
      <c r="V14" s="86">
        <v>46.4</v>
      </c>
      <c r="W14" s="86">
        <v>30.9</v>
      </c>
      <c r="X14" s="86"/>
      <c r="Y14" s="86"/>
      <c r="Z14" s="86"/>
      <c r="AA14" s="91"/>
      <c r="AB14" s="93"/>
      <c r="AD14" s="95"/>
      <c r="AE14" s="96"/>
      <c r="AF14" s="96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235.59999999999994</v>
      </c>
      <c r="D15" s="91">
        <v>14.8</v>
      </c>
      <c r="E15" s="86">
        <v>6.9</v>
      </c>
      <c r="F15" s="86">
        <v>18.3</v>
      </c>
      <c r="G15" s="86">
        <v>16</v>
      </c>
      <c r="H15" s="86">
        <v>7</v>
      </c>
      <c r="I15" s="86">
        <v>21.3</v>
      </c>
      <c r="J15" s="86">
        <v>10.3</v>
      </c>
      <c r="K15" s="86">
        <v>13.2</v>
      </c>
      <c r="L15" s="86">
        <v>6.6</v>
      </c>
      <c r="M15" s="86">
        <v>16.8</v>
      </c>
      <c r="N15" s="86">
        <v>6.1</v>
      </c>
      <c r="O15" s="86">
        <v>9.4</v>
      </c>
      <c r="P15" s="86">
        <v>16.1</v>
      </c>
      <c r="Q15" s="86">
        <v>9.7</v>
      </c>
      <c r="R15" s="92">
        <v>9.1</v>
      </c>
      <c r="S15" s="92">
        <v>15.1</v>
      </c>
      <c r="T15" s="86">
        <v>5.2</v>
      </c>
      <c r="U15" s="92">
        <v>14.7</v>
      </c>
      <c r="V15" s="86">
        <v>10.8</v>
      </c>
      <c r="W15" s="86">
        <v>8.2</v>
      </c>
      <c r="X15" s="86"/>
      <c r="Y15" s="86"/>
      <c r="Z15" s="86"/>
      <c r="AA15" s="91"/>
      <c r="AB15" s="93"/>
      <c r="AD15" s="95"/>
      <c r="AE15" s="96"/>
      <c r="AF15" s="96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363.5</v>
      </c>
      <c r="D16" s="91">
        <v>20.6</v>
      </c>
      <c r="E16" s="86">
        <v>10.5</v>
      </c>
      <c r="F16" s="86">
        <v>3.1</v>
      </c>
      <c r="G16" s="86">
        <v>4.2</v>
      </c>
      <c r="H16" s="86">
        <v>14.5</v>
      </c>
      <c r="I16" s="86">
        <v>10.8</v>
      </c>
      <c r="J16" s="86">
        <v>6.4</v>
      </c>
      <c r="K16" s="86">
        <v>16.7</v>
      </c>
      <c r="L16" s="86">
        <v>100.2</v>
      </c>
      <c r="M16" s="86">
        <v>8.8</v>
      </c>
      <c r="N16" s="86">
        <v>21.2</v>
      </c>
      <c r="O16" s="86">
        <v>13.5</v>
      </c>
      <c r="P16" s="86">
        <v>15.2</v>
      </c>
      <c r="Q16" s="86">
        <v>12.6</v>
      </c>
      <c r="R16" s="92">
        <v>2.9</v>
      </c>
      <c r="S16" s="92">
        <v>4.7</v>
      </c>
      <c r="T16" s="86">
        <v>40.5</v>
      </c>
      <c r="U16" s="92">
        <v>13.7</v>
      </c>
      <c r="V16" s="86">
        <v>28.6</v>
      </c>
      <c r="W16" s="86">
        <v>14.8</v>
      </c>
      <c r="X16" s="92"/>
      <c r="Y16" s="86"/>
      <c r="Z16" s="86"/>
      <c r="AA16" s="91"/>
      <c r="AB16" s="98"/>
      <c r="AD16" s="95"/>
      <c r="AE16" s="96"/>
      <c r="AF16" s="96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19608.600000000002</v>
      </c>
      <c r="D17" s="101">
        <f>SUM(D6:D8)</f>
        <v>1998.6</v>
      </c>
      <c r="E17" s="101">
        <f aca="true" t="shared" si="2" ref="E17:Y17">SUM(E6:E8)</f>
        <v>270.9</v>
      </c>
      <c r="F17" s="101">
        <f t="shared" si="2"/>
        <v>321.9</v>
      </c>
      <c r="G17" s="101">
        <f t="shared" si="2"/>
        <v>669.2</v>
      </c>
      <c r="H17" s="101">
        <f t="shared" si="2"/>
        <v>2973.5</v>
      </c>
      <c r="I17" s="101">
        <f t="shared" si="2"/>
        <v>1998.3000000000002</v>
      </c>
      <c r="J17" s="101">
        <f t="shared" si="2"/>
        <v>220.9</v>
      </c>
      <c r="K17" s="101">
        <f t="shared" si="2"/>
        <v>543.7</v>
      </c>
      <c r="L17" s="101">
        <f t="shared" si="2"/>
        <v>678.3000000000001</v>
      </c>
      <c r="M17" s="101">
        <f>SUM(M6:M8)</f>
        <v>857.7999999999998</v>
      </c>
      <c r="N17" s="101">
        <f t="shared" si="2"/>
        <v>510.3</v>
      </c>
      <c r="O17" s="101">
        <f t="shared" si="2"/>
        <v>531.2</v>
      </c>
      <c r="P17" s="101">
        <f t="shared" si="2"/>
        <v>823.2000000000002</v>
      </c>
      <c r="Q17" s="101">
        <f t="shared" si="2"/>
        <v>997.7</v>
      </c>
      <c r="R17" s="101">
        <f t="shared" si="2"/>
        <v>798.2</v>
      </c>
      <c r="S17" s="101">
        <f t="shared" si="2"/>
        <v>499.8</v>
      </c>
      <c r="T17" s="101">
        <f>SUM(T6:T8)</f>
        <v>932.7</v>
      </c>
      <c r="U17" s="101">
        <f t="shared" si="2"/>
        <v>1999.8000000000002</v>
      </c>
      <c r="V17" s="101">
        <f t="shared" si="2"/>
        <v>1358.8</v>
      </c>
      <c r="W17" s="101">
        <f t="shared" si="2"/>
        <v>623.8000000000001</v>
      </c>
      <c r="X17" s="101">
        <f t="shared" si="2"/>
        <v>0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7"/>
      <c r="AE17" s="67"/>
      <c r="AF17" s="67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">
      <c r="B18" s="102" t="s">
        <v>18</v>
      </c>
      <c r="C18" s="103">
        <f>C19+C23+C29+C32+C33+C34+C35+C41+C45+C49+C52+C57+C63+C70+C74+C75+C76+C77+C31+C66+C73</f>
        <v>33491.763999999996</v>
      </c>
      <c r="D18" s="103">
        <f aca="true" t="shared" si="3" ref="D18:AA18">D19+D23+D29+D32+D33+D34+D35+D41+D45+D49+D52+D57+D63+D70+D74+D75+D76+D77+D31+D66+D73</f>
        <v>212.737</v>
      </c>
      <c r="E18" s="103">
        <f t="shared" si="3"/>
        <v>1387.373</v>
      </c>
      <c r="F18" s="103">
        <f t="shared" si="3"/>
        <v>1212.47</v>
      </c>
      <c r="G18" s="103">
        <f t="shared" si="3"/>
        <v>643.5459999999998</v>
      </c>
      <c r="H18" s="103">
        <f t="shared" si="3"/>
        <v>973.2180000000001</v>
      </c>
      <c r="I18" s="103">
        <f t="shared" si="3"/>
        <v>119.566</v>
      </c>
      <c r="J18" s="103">
        <f t="shared" si="3"/>
        <v>6940.185999999999</v>
      </c>
      <c r="K18" s="103">
        <f t="shared" si="3"/>
        <v>1203.1060000000002</v>
      </c>
      <c r="L18" s="103">
        <f t="shared" si="3"/>
        <v>202.494</v>
      </c>
      <c r="M18" s="103">
        <f t="shared" si="3"/>
        <v>364.62500000000006</v>
      </c>
      <c r="N18" s="103">
        <f t="shared" si="3"/>
        <v>170.436</v>
      </c>
      <c r="O18" s="103">
        <f t="shared" si="3"/>
        <v>1756.493</v>
      </c>
      <c r="P18" s="103">
        <f t="shared" si="3"/>
        <v>54.658</v>
      </c>
      <c r="Q18" s="103">
        <f t="shared" si="3"/>
        <v>2213.4449999999997</v>
      </c>
      <c r="R18" s="103">
        <f t="shared" si="3"/>
        <v>1671.7180000000003</v>
      </c>
      <c r="S18" s="103">
        <f t="shared" si="3"/>
        <v>3764.59</v>
      </c>
      <c r="T18" s="103">
        <f t="shared" si="3"/>
        <v>2130.1800000000003</v>
      </c>
      <c r="U18" s="103">
        <f t="shared" si="3"/>
        <v>329.149</v>
      </c>
      <c r="V18" s="103">
        <f t="shared" si="3"/>
        <v>113.692</v>
      </c>
      <c r="W18" s="103">
        <f t="shared" si="3"/>
        <v>0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25463.682</v>
      </c>
      <c r="AB18" s="104">
        <f aca="true" t="shared" si="4" ref="AB18:AB81">AA18-C18</f>
        <v>-8028.081999999995</v>
      </c>
      <c r="AD18" s="67"/>
      <c r="AE18" s="67"/>
      <c r="AF18" s="67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">
      <c r="A19" s="66">
        <v>10116</v>
      </c>
      <c r="B19" s="105" t="s">
        <v>19</v>
      </c>
      <c r="C19" s="106">
        <f aca="true" t="shared" si="5" ref="C19:AA19">SUM(C20:C22)</f>
        <v>6050.891</v>
      </c>
      <c r="D19" s="106">
        <f t="shared" si="5"/>
        <v>0.18</v>
      </c>
      <c r="E19" s="106">
        <f t="shared" si="5"/>
        <v>19.391</v>
      </c>
      <c r="F19" s="106">
        <f t="shared" si="5"/>
        <v>91.284</v>
      </c>
      <c r="G19" s="106">
        <f t="shared" si="5"/>
        <v>57.277</v>
      </c>
      <c r="H19" s="106">
        <f t="shared" si="5"/>
        <v>69.03</v>
      </c>
      <c r="I19" s="106">
        <f t="shared" si="5"/>
        <v>73.483</v>
      </c>
      <c r="J19" s="106">
        <f t="shared" si="5"/>
        <v>2284.934</v>
      </c>
      <c r="K19" s="106">
        <f t="shared" si="5"/>
        <v>124</v>
      </c>
      <c r="L19" s="106">
        <f t="shared" si="5"/>
        <v>27.568</v>
      </c>
      <c r="M19" s="106">
        <f t="shared" si="5"/>
        <v>1.157</v>
      </c>
      <c r="N19" s="106">
        <f t="shared" si="5"/>
        <v>13.119</v>
      </c>
      <c r="O19" s="106">
        <f t="shared" si="5"/>
        <v>16.016</v>
      </c>
      <c r="P19" s="106">
        <f t="shared" si="5"/>
        <v>6.953</v>
      </c>
      <c r="Q19" s="106">
        <f t="shared" si="5"/>
        <v>50.066</v>
      </c>
      <c r="R19" s="106">
        <f t="shared" si="5"/>
        <v>22.038</v>
      </c>
      <c r="S19" s="106">
        <f t="shared" si="5"/>
        <v>1503.168</v>
      </c>
      <c r="T19" s="106">
        <f>SUM(T20:T22)</f>
        <v>652.03</v>
      </c>
      <c r="U19" s="106">
        <f t="shared" si="5"/>
        <v>-39.859</v>
      </c>
      <c r="V19" s="106">
        <f t="shared" si="5"/>
        <v>-0.138</v>
      </c>
      <c r="W19" s="106">
        <f t="shared" si="5"/>
        <v>0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4971.697</v>
      </c>
      <c r="AB19" s="104">
        <f t="shared" si="4"/>
        <v>-1079.1939999999995</v>
      </c>
      <c r="AD19" s="72"/>
      <c r="AE19" s="67"/>
      <c r="AF19" s="67"/>
      <c r="AG19" s="68"/>
      <c r="AH19" s="68"/>
      <c r="AI19" s="68"/>
      <c r="AJ19" s="68"/>
      <c r="AK19" s="68"/>
      <c r="AL19" s="68"/>
      <c r="AM19" s="68"/>
      <c r="AN19" s="68"/>
    </row>
    <row r="20" spans="2:31" ht="15">
      <c r="B20" s="107" t="s">
        <v>20</v>
      </c>
      <c r="C20" s="108">
        <f>5075.692+2.3+5.8</f>
        <v>5083.792</v>
      </c>
      <c r="D20" s="81"/>
      <c r="E20" s="81">
        <v>12.169</v>
      </c>
      <c r="F20" s="81"/>
      <c r="G20" s="81">
        <v>20.411</v>
      </c>
      <c r="H20" s="81"/>
      <c r="I20" s="81">
        <v>73.483</v>
      </c>
      <c r="J20" s="86">
        <v>2234.755</v>
      </c>
      <c r="K20" s="81">
        <v>122.051</v>
      </c>
      <c r="L20" s="81">
        <v>0.861</v>
      </c>
      <c r="M20" s="81"/>
      <c r="N20" s="81"/>
      <c r="O20" s="81"/>
      <c r="P20" s="81"/>
      <c r="Q20" s="81">
        <v>49.217</v>
      </c>
      <c r="R20" s="81">
        <v>17.023</v>
      </c>
      <c r="S20" s="81">
        <v>1374.084</v>
      </c>
      <c r="T20" s="81">
        <v>647.771</v>
      </c>
      <c r="U20" s="81"/>
      <c r="V20" s="86"/>
      <c r="W20" s="86"/>
      <c r="X20" s="86"/>
      <c r="Y20" s="81"/>
      <c r="Z20" s="81"/>
      <c r="AA20" s="81">
        <f>SUM(D20:Z20)</f>
        <v>4551.825</v>
      </c>
      <c r="AB20" s="104">
        <f t="shared" si="4"/>
        <v>-531.9670000000006</v>
      </c>
      <c r="AD20" s="67" t="s">
        <v>21</v>
      </c>
      <c r="AE20" s="109">
        <f>AA19</f>
        <v>4971.697</v>
      </c>
    </row>
    <row r="21" spans="2:31" ht="15">
      <c r="B21" s="107" t="s">
        <v>22</v>
      </c>
      <c r="C21" s="108">
        <v>497.199</v>
      </c>
      <c r="D21" s="81"/>
      <c r="E21" s="81">
        <v>0.045</v>
      </c>
      <c r="F21" s="81">
        <v>35.834</v>
      </c>
      <c r="G21" s="81">
        <v>30.386</v>
      </c>
      <c r="H21" s="81">
        <v>63.042</v>
      </c>
      <c r="I21" s="81"/>
      <c r="J21" s="86"/>
      <c r="K21" s="81"/>
      <c r="L21" s="81"/>
      <c r="M21" s="81"/>
      <c r="N21" s="81">
        <v>0.302</v>
      </c>
      <c r="O21" s="81">
        <v>16.016</v>
      </c>
      <c r="P21" s="81">
        <v>0.017</v>
      </c>
      <c r="Q21" s="81">
        <v>0.045</v>
      </c>
      <c r="R21" s="81">
        <v>2.645</v>
      </c>
      <c r="S21" s="81">
        <v>0.725</v>
      </c>
      <c r="T21" s="81">
        <v>1.178</v>
      </c>
      <c r="U21" s="81">
        <v>-38.543</v>
      </c>
      <c r="V21" s="86">
        <v>-0.138</v>
      </c>
      <c r="W21" s="86"/>
      <c r="X21" s="86"/>
      <c r="Y21" s="81"/>
      <c r="Z21" s="81"/>
      <c r="AA21" s="81">
        <f>SUM(D21:Z21)</f>
        <v>111.55399999999997</v>
      </c>
      <c r="AB21" s="104">
        <f t="shared" si="4"/>
        <v>-385.64500000000004</v>
      </c>
      <c r="AD21" s="67" t="s">
        <v>23</v>
      </c>
      <c r="AE21" s="109">
        <f>AA23</f>
        <v>11005.14</v>
      </c>
    </row>
    <row r="22" spans="2:31" ht="15">
      <c r="B22" s="107" t="s">
        <v>24</v>
      </c>
      <c r="C22" s="108">
        <f>472.2-2.3</f>
        <v>469.9</v>
      </c>
      <c r="D22" s="81">
        <v>0.18</v>
      </c>
      <c r="E22" s="81">
        <v>7.177</v>
      </c>
      <c r="F22" s="81">
        <v>55.45</v>
      </c>
      <c r="G22" s="81">
        <v>6.48</v>
      </c>
      <c r="H22" s="81">
        <v>5.988</v>
      </c>
      <c r="I22" s="81"/>
      <c r="J22" s="81">
        <v>50.179</v>
      </c>
      <c r="K22" s="81">
        <v>1.949</v>
      </c>
      <c r="L22" s="81">
        <v>26.707</v>
      </c>
      <c r="M22" s="81">
        <v>1.157</v>
      </c>
      <c r="N22" s="81">
        <v>12.817</v>
      </c>
      <c r="O22" s="81"/>
      <c r="P22" s="81">
        <v>6.936</v>
      </c>
      <c r="Q22" s="81">
        <v>0.804</v>
      </c>
      <c r="R22" s="81">
        <v>2.37</v>
      </c>
      <c r="S22" s="81">
        <v>128.359</v>
      </c>
      <c r="T22" s="81">
        <v>3.081</v>
      </c>
      <c r="U22" s="81">
        <v>-1.316</v>
      </c>
      <c r="V22" s="81"/>
      <c r="W22" s="81"/>
      <c r="X22" s="81"/>
      <c r="Y22" s="81"/>
      <c r="Z22" s="81"/>
      <c r="AA22" s="81">
        <f>SUM(D22:Z22)</f>
        <v>308.3180000000001</v>
      </c>
      <c r="AB22" s="104">
        <f t="shared" si="4"/>
        <v>-161.58199999999988</v>
      </c>
      <c r="AD22" s="67" t="s">
        <v>25</v>
      </c>
      <c r="AE22" s="109">
        <f>$AA$29+$AA$31</f>
        <v>171.64100000000002</v>
      </c>
    </row>
    <row r="23" spans="1:40" s="66" customFormat="1" ht="15">
      <c r="A23" s="66">
        <v>7000</v>
      </c>
      <c r="B23" s="105" t="s">
        <v>26</v>
      </c>
      <c r="C23" s="106">
        <f aca="true" t="shared" si="6" ref="C23:AA23">SUM(C24:C28)</f>
        <v>15597.718999999997</v>
      </c>
      <c r="D23" s="106">
        <f t="shared" si="6"/>
        <v>0</v>
      </c>
      <c r="E23" s="106">
        <f t="shared" si="6"/>
        <v>27.737</v>
      </c>
      <c r="F23" s="106">
        <f t="shared" si="6"/>
        <v>138.36599999999999</v>
      </c>
      <c r="G23" s="106">
        <f t="shared" si="6"/>
        <v>433.91299999999995</v>
      </c>
      <c r="H23" s="106">
        <f t="shared" si="6"/>
        <v>708.629</v>
      </c>
      <c r="I23" s="106">
        <f t="shared" si="6"/>
        <v>4.083</v>
      </c>
      <c r="J23" s="106">
        <f t="shared" si="6"/>
        <v>3203.316</v>
      </c>
      <c r="K23" s="106">
        <f t="shared" si="6"/>
        <v>937.9650000000001</v>
      </c>
      <c r="L23" s="106">
        <f t="shared" si="6"/>
        <v>0</v>
      </c>
      <c r="M23" s="106">
        <f t="shared" si="6"/>
        <v>334.57000000000005</v>
      </c>
      <c r="N23" s="106">
        <f t="shared" si="6"/>
        <v>60.550000000000004</v>
      </c>
      <c r="O23" s="106">
        <f t="shared" si="6"/>
        <v>4.769</v>
      </c>
      <c r="P23" s="106">
        <f t="shared" si="6"/>
        <v>0</v>
      </c>
      <c r="Q23" s="106">
        <f t="shared" si="6"/>
        <v>1849.03</v>
      </c>
      <c r="R23" s="106">
        <f t="shared" si="6"/>
        <v>1217.842</v>
      </c>
      <c r="S23" s="106">
        <f t="shared" si="6"/>
        <v>1963.481</v>
      </c>
      <c r="T23" s="106">
        <f>SUM(T24:T28)</f>
        <v>105.785</v>
      </c>
      <c r="U23" s="106">
        <f>SUM(U24:U28)</f>
        <v>18.211</v>
      </c>
      <c r="V23" s="106">
        <f t="shared" si="6"/>
        <v>-3.107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11005.14</v>
      </c>
      <c r="AB23" s="104">
        <f t="shared" si="4"/>
        <v>-4592.578999999998</v>
      </c>
      <c r="AD23" s="67" t="s">
        <v>27</v>
      </c>
      <c r="AE23" s="109">
        <f>$AA$32+$AA$33+$AA$35+$AA$41+$AA$45+$AA$34</f>
        <v>1035.0420000000001</v>
      </c>
      <c r="AF23" s="67"/>
      <c r="AG23" s="68"/>
      <c r="AH23" s="68"/>
      <c r="AI23" s="68"/>
      <c r="AJ23" s="68"/>
      <c r="AK23" s="68"/>
      <c r="AL23" s="68"/>
      <c r="AM23" s="68"/>
      <c r="AN23" s="68"/>
    </row>
    <row r="24" spans="2:31" ht="15">
      <c r="B24" s="107" t="s">
        <v>20</v>
      </c>
      <c r="C24" s="108">
        <v>10252.517</v>
      </c>
      <c r="D24" s="81"/>
      <c r="E24" s="81"/>
      <c r="F24" s="81">
        <v>16.259</v>
      </c>
      <c r="G24" s="81">
        <v>84.705</v>
      </c>
      <c r="H24" s="81">
        <f>273.672</f>
        <v>273.672</v>
      </c>
      <c r="I24" s="81">
        <v>4.083</v>
      </c>
      <c r="J24" s="86">
        <f>1262.571+13.45+0.717+819.56</f>
        <v>2096.298</v>
      </c>
      <c r="K24" s="81">
        <f>170.502+702.032</f>
        <v>872.5340000000001</v>
      </c>
      <c r="L24" s="81"/>
      <c r="M24" s="81">
        <v>15.812</v>
      </c>
      <c r="N24" s="81"/>
      <c r="O24" s="81"/>
      <c r="P24" s="81"/>
      <c r="Q24" s="81">
        <f>933.997+19.783+690.944</f>
        <v>1644.724</v>
      </c>
      <c r="R24" s="110">
        <f>586.301+529.725+5.179</f>
        <v>1121.2050000000002</v>
      </c>
      <c r="S24" s="81">
        <f>907.368+881.186+9.96</f>
        <v>1798.5140000000001</v>
      </c>
      <c r="T24" s="81">
        <f>100+2.96</f>
        <v>102.96</v>
      </c>
      <c r="U24" s="81"/>
      <c r="V24" s="86"/>
      <c r="W24" s="86"/>
      <c r="X24" s="86"/>
      <c r="Y24" s="81"/>
      <c r="Z24" s="81"/>
      <c r="AA24" s="81">
        <f>SUM(D24:Z24)</f>
        <v>8030.766</v>
      </c>
      <c r="AB24" s="104">
        <f t="shared" si="4"/>
        <v>-2221.751</v>
      </c>
      <c r="AD24" s="67" t="s">
        <v>28</v>
      </c>
      <c r="AE24" s="109">
        <f>$AA$63+$AA$66</f>
        <v>2200.289</v>
      </c>
    </row>
    <row r="25" spans="2:31" ht="15">
      <c r="B25" s="107" t="s">
        <v>29</v>
      </c>
      <c r="C25" s="108">
        <v>11.701</v>
      </c>
      <c r="D25" s="81"/>
      <c r="E25" s="81"/>
      <c r="F25" s="81"/>
      <c r="G25" s="81">
        <v>1.5</v>
      </c>
      <c r="H25" s="81"/>
      <c r="I25" s="81"/>
      <c r="J25" s="86"/>
      <c r="K25" s="81"/>
      <c r="L25" s="81"/>
      <c r="M25" s="81">
        <v>0.999</v>
      </c>
      <c r="N25" s="81"/>
      <c r="O25" s="81"/>
      <c r="P25" s="81"/>
      <c r="Q25" s="81"/>
      <c r="R25" s="110"/>
      <c r="S25" s="81"/>
      <c r="T25" s="81"/>
      <c r="U25" s="81"/>
      <c r="V25" s="86"/>
      <c r="W25" s="86"/>
      <c r="X25" s="86"/>
      <c r="Y25" s="81"/>
      <c r="Z25" s="81"/>
      <c r="AA25" s="81">
        <f>SUM(D25:Z25)</f>
        <v>2.499</v>
      </c>
      <c r="AB25" s="104">
        <f t="shared" si="4"/>
        <v>-9.202</v>
      </c>
      <c r="AD25" s="67" t="s">
        <v>30</v>
      </c>
      <c r="AE25" s="109">
        <f>$AA$52</f>
        <v>577.138</v>
      </c>
    </row>
    <row r="26" spans="2:31" ht="15">
      <c r="B26" s="107" t="s">
        <v>31</v>
      </c>
      <c r="C26" s="108">
        <v>759.828</v>
      </c>
      <c r="D26" s="81"/>
      <c r="E26" s="81">
        <v>27.076</v>
      </c>
      <c r="F26" s="81">
        <v>8.699</v>
      </c>
      <c r="G26" s="81">
        <v>62.198</v>
      </c>
      <c r="H26" s="81">
        <v>6.136</v>
      </c>
      <c r="I26" s="81"/>
      <c r="J26" s="86">
        <v>42.39</v>
      </c>
      <c r="K26" s="81">
        <v>52.909</v>
      </c>
      <c r="L26" s="81"/>
      <c r="M26" s="81">
        <v>147.311</v>
      </c>
      <c r="N26" s="81">
        <v>34.944</v>
      </c>
      <c r="O26" s="81"/>
      <c r="P26" s="81"/>
      <c r="Q26" s="81">
        <v>86.818</v>
      </c>
      <c r="R26" s="110">
        <v>67.215</v>
      </c>
      <c r="S26" s="81">
        <v>34.229</v>
      </c>
      <c r="T26" s="81"/>
      <c r="U26" s="81"/>
      <c r="V26" s="86"/>
      <c r="W26" s="86"/>
      <c r="X26" s="86"/>
      <c r="Y26" s="81"/>
      <c r="Z26" s="81"/>
      <c r="AA26" s="81">
        <f>SUM(D26:Z26)</f>
        <v>569.9250000000001</v>
      </c>
      <c r="AB26" s="104">
        <f t="shared" si="4"/>
        <v>-189.9029999999999</v>
      </c>
      <c r="AD26" s="67" t="s">
        <v>32</v>
      </c>
      <c r="AE26" s="109">
        <f>$AA$57</f>
        <v>405.13900000000007</v>
      </c>
    </row>
    <row r="27" spans="2:31" ht="15">
      <c r="B27" s="107" t="s">
        <v>22</v>
      </c>
      <c r="C27" s="108">
        <v>3566.139</v>
      </c>
      <c r="D27" s="81"/>
      <c r="E27" s="81">
        <v>0.188</v>
      </c>
      <c r="F27" s="81">
        <v>71.075</v>
      </c>
      <c r="G27" s="81">
        <v>259.002</v>
      </c>
      <c r="H27" s="81">
        <v>307.981</v>
      </c>
      <c r="I27" s="81"/>
      <c r="J27" s="86">
        <v>1033.384</v>
      </c>
      <c r="K27" s="81">
        <v>9.302</v>
      </c>
      <c r="L27" s="81"/>
      <c r="M27" s="81">
        <v>27.339</v>
      </c>
      <c r="N27" s="81">
        <v>12.477</v>
      </c>
      <c r="O27" s="81">
        <v>4.759</v>
      </c>
      <c r="P27" s="81"/>
      <c r="Q27" s="81">
        <v>108.709</v>
      </c>
      <c r="R27" s="110">
        <v>23.39</v>
      </c>
      <c r="S27" s="81">
        <v>117.686</v>
      </c>
      <c r="T27" s="81">
        <v>-0.023</v>
      </c>
      <c r="U27" s="81">
        <v>13.043</v>
      </c>
      <c r="V27" s="86">
        <v>-3.107</v>
      </c>
      <c r="W27" s="86"/>
      <c r="X27" s="86"/>
      <c r="Y27" s="81"/>
      <c r="Z27" s="81"/>
      <c r="AA27" s="81">
        <f>SUM(D27:Z27)</f>
        <v>1985.2050000000002</v>
      </c>
      <c r="AB27" s="104">
        <f t="shared" si="4"/>
        <v>-1580.934</v>
      </c>
      <c r="AD27" s="67" t="s">
        <v>33</v>
      </c>
      <c r="AE27" s="109">
        <f>$AA$49+$AA$70+$AA$74+$AA$75+$AA$77+$AA$76+$AA$72</f>
        <v>5097.5960000000005</v>
      </c>
    </row>
    <row r="28" spans="2:31" ht="15">
      <c r="B28" s="107" t="s">
        <v>24</v>
      </c>
      <c r="C28" s="108">
        <v>1007.534</v>
      </c>
      <c r="D28" s="81"/>
      <c r="E28" s="81">
        <v>0.473</v>
      </c>
      <c r="F28" s="81">
        <v>42.333</v>
      </c>
      <c r="G28" s="81">
        <v>26.508</v>
      </c>
      <c r="H28" s="81">
        <v>120.84</v>
      </c>
      <c r="I28" s="81"/>
      <c r="J28" s="81">
        <v>31.244</v>
      </c>
      <c r="K28" s="81">
        <v>3.22</v>
      </c>
      <c r="L28" s="81"/>
      <c r="M28" s="81">
        <v>143.109</v>
      </c>
      <c r="N28" s="81">
        <v>13.129</v>
      </c>
      <c r="O28" s="81">
        <v>0.01</v>
      </c>
      <c r="P28" s="81"/>
      <c r="Q28" s="81">
        <v>8.779</v>
      </c>
      <c r="R28" s="81">
        <v>6.032</v>
      </c>
      <c r="S28" s="81">
        <v>13.052</v>
      </c>
      <c r="T28" s="81">
        <v>2.848</v>
      </c>
      <c r="U28" s="81">
        <v>5.168</v>
      </c>
      <c r="V28" s="81"/>
      <c r="W28" s="81"/>
      <c r="X28" s="81"/>
      <c r="Y28" s="81"/>
      <c r="Z28" s="81"/>
      <c r="AA28" s="81">
        <f>SUM(D28:Z28)</f>
        <v>416.745</v>
      </c>
      <c r="AB28" s="104">
        <f t="shared" si="4"/>
        <v>-590.789</v>
      </c>
      <c r="AE28" s="111"/>
    </row>
    <row r="29" spans="2:31" ht="27.75">
      <c r="B29" s="105" t="s">
        <v>34</v>
      </c>
      <c r="C29" s="106">
        <f>C30</f>
        <v>1233.751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0</v>
      </c>
      <c r="G29" s="106">
        <f t="shared" si="7"/>
        <v>12.061</v>
      </c>
      <c r="H29" s="106">
        <f t="shared" si="7"/>
        <v>29.653</v>
      </c>
      <c r="I29" s="106">
        <f t="shared" si="7"/>
        <v>0</v>
      </c>
      <c r="J29" s="106">
        <f t="shared" si="7"/>
        <v>0</v>
      </c>
      <c r="K29" s="106">
        <f t="shared" si="7"/>
        <v>0</v>
      </c>
      <c r="L29" s="106">
        <f t="shared" si="7"/>
        <v>0</v>
      </c>
      <c r="M29" s="106">
        <f t="shared" si="7"/>
        <v>17.932</v>
      </c>
      <c r="N29" s="106">
        <f t="shared" si="7"/>
        <v>0</v>
      </c>
      <c r="O29" s="106">
        <f t="shared" si="7"/>
        <v>0</v>
      </c>
      <c r="P29" s="106">
        <f t="shared" si="7"/>
        <v>0</v>
      </c>
      <c r="Q29" s="106">
        <f t="shared" si="7"/>
        <v>87.094</v>
      </c>
      <c r="R29" s="106">
        <f t="shared" si="7"/>
        <v>0</v>
      </c>
      <c r="S29" s="106">
        <f t="shared" si="7"/>
        <v>0</v>
      </c>
      <c r="T29" s="106">
        <f t="shared" si="7"/>
        <v>24.901</v>
      </c>
      <c r="U29" s="106">
        <f t="shared" si="7"/>
        <v>0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171.64100000000002</v>
      </c>
      <c r="AB29" s="104">
        <f t="shared" si="4"/>
        <v>-1062.11</v>
      </c>
      <c r="AE29" s="111"/>
    </row>
    <row r="30" spans="2:31" ht="15">
      <c r="B30" s="112" t="s">
        <v>35</v>
      </c>
      <c r="C30" s="113">
        <v>1233.751</v>
      </c>
      <c r="D30" s="86"/>
      <c r="E30" s="86"/>
      <c r="F30" s="86"/>
      <c r="G30" s="86">
        <v>12.061</v>
      </c>
      <c r="H30" s="86">
        <v>29.653</v>
      </c>
      <c r="I30" s="86"/>
      <c r="J30" s="86"/>
      <c r="K30" s="86"/>
      <c r="L30" s="86"/>
      <c r="M30" s="86">
        <v>17.932</v>
      </c>
      <c r="N30" s="86"/>
      <c r="O30" s="86"/>
      <c r="P30" s="86"/>
      <c r="Q30" s="86">
        <v>87.094</v>
      </c>
      <c r="R30" s="86"/>
      <c r="S30" s="86"/>
      <c r="T30" s="86">
        <v>24.901</v>
      </c>
      <c r="U30" s="86"/>
      <c r="V30" s="86"/>
      <c r="W30" s="86"/>
      <c r="X30" s="86"/>
      <c r="Y30" s="113"/>
      <c r="Z30" s="113"/>
      <c r="AA30" s="81">
        <f>SUM(D30:Z30)</f>
        <v>171.64100000000002</v>
      </c>
      <c r="AB30" s="104">
        <f t="shared" si="4"/>
        <v>-1062.11</v>
      </c>
      <c r="AE30" s="111"/>
    </row>
    <row r="31" spans="2:31" ht="42">
      <c r="B31" s="105" t="s">
        <v>36</v>
      </c>
      <c r="C31" s="106">
        <v>49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-49</v>
      </c>
      <c r="AE31" s="111"/>
    </row>
    <row r="32" spans="1:40" s="66" customFormat="1" ht="27.75">
      <c r="A32" s="66" t="s">
        <v>37</v>
      </c>
      <c r="B32" s="105" t="s">
        <v>69</v>
      </c>
      <c r="C32" s="106">
        <v>406.093</v>
      </c>
      <c r="D32" s="106"/>
      <c r="E32" s="106"/>
      <c r="F32" s="106">
        <v>7.853</v>
      </c>
      <c r="G32" s="106"/>
      <c r="H32" s="106"/>
      <c r="I32" s="106"/>
      <c r="J32" s="106"/>
      <c r="K32" s="106"/>
      <c r="L32" s="106">
        <v>2.265</v>
      </c>
      <c r="M32" s="106"/>
      <c r="N32" s="106"/>
      <c r="O32" s="106"/>
      <c r="P32" s="106">
        <v>8.777</v>
      </c>
      <c r="Q32" s="106"/>
      <c r="R32" s="106">
        <v>102.9</v>
      </c>
      <c r="S32" s="106">
        <v>12.94</v>
      </c>
      <c r="T32" s="106"/>
      <c r="U32" s="114"/>
      <c r="V32" s="114">
        <v>-0.276</v>
      </c>
      <c r="W32" s="114"/>
      <c r="X32" s="106"/>
      <c r="Y32" s="106"/>
      <c r="Z32" s="106"/>
      <c r="AA32" s="106">
        <f>SUM(D32:Z32)</f>
        <v>134.459</v>
      </c>
      <c r="AB32" s="104">
        <f t="shared" si="4"/>
        <v>-271.634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2">
      <c r="B33" s="105" t="s">
        <v>39</v>
      </c>
      <c r="C33" s="106">
        <v>319.488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14">
        <v>114.985</v>
      </c>
      <c r="U33" s="106"/>
      <c r="V33" s="106"/>
      <c r="W33" s="106"/>
      <c r="X33" s="106"/>
      <c r="Y33" s="106"/>
      <c r="Z33" s="106"/>
      <c r="AA33" s="106">
        <f>SUM(D33:Z33)</f>
        <v>114.985</v>
      </c>
      <c r="AB33" s="104">
        <f t="shared" si="4"/>
        <v>-204.503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42">
      <c r="B34" s="105" t="s">
        <v>41</v>
      </c>
      <c r="C34" s="106">
        <v>50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0</v>
      </c>
      <c r="AB34" s="104">
        <f t="shared" si="4"/>
        <v>-50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">
      <c r="B35" s="105" t="s">
        <v>42</v>
      </c>
      <c r="C35" s="106">
        <f>SUM(C36:C40)</f>
        <v>632.7529999999999</v>
      </c>
      <c r="D35" s="106">
        <f>SUM(D36:D40)</f>
        <v>0</v>
      </c>
      <c r="E35" s="106">
        <f>SUM(E36:E40)</f>
        <v>0</v>
      </c>
      <c r="F35" s="106">
        <f>SUM(F36:F40)</f>
        <v>34.318999999999996</v>
      </c>
      <c r="G35" s="106">
        <f aca="true" t="shared" si="8" ref="G35:S35">SUM(G36:G40)</f>
        <v>24.846</v>
      </c>
      <c r="H35" s="106">
        <f t="shared" si="8"/>
        <v>0</v>
      </c>
      <c r="I35" s="106">
        <f t="shared" si="8"/>
        <v>0</v>
      </c>
      <c r="J35" s="106">
        <f t="shared" si="8"/>
        <v>0</v>
      </c>
      <c r="K35" s="106">
        <f t="shared" si="8"/>
        <v>0</v>
      </c>
      <c r="L35" s="106">
        <f t="shared" si="8"/>
        <v>164.836</v>
      </c>
      <c r="M35" s="106">
        <f t="shared" si="8"/>
        <v>0</v>
      </c>
      <c r="N35" s="106">
        <f t="shared" si="8"/>
        <v>0</v>
      </c>
      <c r="O35" s="106">
        <f t="shared" si="8"/>
        <v>0</v>
      </c>
      <c r="P35" s="106">
        <f t="shared" si="8"/>
        <v>0</v>
      </c>
      <c r="Q35" s="106">
        <f t="shared" si="8"/>
        <v>6.82</v>
      </c>
      <c r="R35" s="106">
        <f t="shared" si="8"/>
        <v>0</v>
      </c>
      <c r="S35" s="106">
        <f t="shared" si="8"/>
        <v>0</v>
      </c>
      <c r="T35" s="106">
        <f>SUM(T36:T40)</f>
        <v>342.63500000000005</v>
      </c>
      <c r="U35" s="106">
        <f>SUM(U36:U40)</f>
        <v>0</v>
      </c>
      <c r="V35" s="106">
        <f aca="true" t="shared" si="9" ref="V35:AA35">SUM(V36:V40)</f>
        <v>0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573.456</v>
      </c>
      <c r="AB35" s="104">
        <f t="shared" si="4"/>
        <v>-59.29699999999991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">
      <c r="B36" s="107" t="s">
        <v>20</v>
      </c>
      <c r="C36" s="108">
        <v>540.851</v>
      </c>
      <c r="D36" s="81"/>
      <c r="E36" s="81"/>
      <c r="F36" s="81">
        <v>12.56</v>
      </c>
      <c r="G36" s="81">
        <v>4.448</v>
      </c>
      <c r="H36" s="81"/>
      <c r="I36" s="81"/>
      <c r="J36" s="86"/>
      <c r="K36" s="81"/>
      <c r="L36" s="81">
        <v>164.226</v>
      </c>
      <c r="M36" s="81"/>
      <c r="N36" s="81"/>
      <c r="O36" s="81"/>
      <c r="P36" s="110"/>
      <c r="Q36" s="81"/>
      <c r="R36" s="110"/>
      <c r="S36" s="81"/>
      <c r="T36" s="81">
        <v>337.867</v>
      </c>
      <c r="U36" s="81"/>
      <c r="V36" s="86"/>
      <c r="W36" s="86"/>
      <c r="X36" s="81"/>
      <c r="Y36" s="81"/>
      <c r="Z36" s="81"/>
      <c r="AA36" s="81">
        <f>SUM(D36:Z36)</f>
        <v>519.101</v>
      </c>
      <c r="AB36" s="104">
        <f t="shared" si="4"/>
        <v>-21.75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">
      <c r="B37" s="107" t="s">
        <v>29</v>
      </c>
      <c r="C37" s="108">
        <v>1.804</v>
      </c>
      <c r="D37" s="81"/>
      <c r="E37" s="81"/>
      <c r="F37" s="81">
        <v>1.793</v>
      </c>
      <c r="G37" s="81"/>
      <c r="H37" s="81"/>
      <c r="I37" s="81"/>
      <c r="J37" s="86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1.793</v>
      </c>
      <c r="AB37" s="104">
        <f t="shared" si="4"/>
        <v>-0.01100000000000012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/>
      <c r="R38" s="110"/>
      <c r="S38" s="81"/>
      <c r="T38" s="81">
        <v>3.3</v>
      </c>
      <c r="U38" s="81"/>
      <c r="V38" s="86"/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">
      <c r="B39" s="107" t="s">
        <v>22</v>
      </c>
      <c r="C39" s="108">
        <v>73.181</v>
      </c>
      <c r="D39" s="81"/>
      <c r="E39" s="81"/>
      <c r="F39" s="81">
        <v>17.773</v>
      </c>
      <c r="G39" s="81">
        <v>16.043</v>
      </c>
      <c r="H39" s="81"/>
      <c r="I39" s="81"/>
      <c r="J39" s="81"/>
      <c r="K39" s="81"/>
      <c r="L39" s="81"/>
      <c r="M39" s="81"/>
      <c r="N39" s="81"/>
      <c r="O39" s="81"/>
      <c r="P39" s="110"/>
      <c r="Q39" s="81">
        <v>4.418</v>
      </c>
      <c r="R39" s="110"/>
      <c r="S39" s="81"/>
      <c r="T39" s="81"/>
      <c r="U39" s="81"/>
      <c r="V39" s="86"/>
      <c r="W39" s="86"/>
      <c r="X39" s="81"/>
      <c r="Y39" s="81"/>
      <c r="Z39" s="81"/>
      <c r="AA39" s="81">
        <f>SUM(D39:Z39)</f>
        <v>38.234</v>
      </c>
      <c r="AB39" s="104">
        <f t="shared" si="4"/>
        <v>-34.946999999999996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">
      <c r="B40" s="107" t="s">
        <v>24</v>
      </c>
      <c r="C40" s="108">
        <v>13.617</v>
      </c>
      <c r="D40" s="81"/>
      <c r="E40" s="81"/>
      <c r="F40" s="81">
        <v>2.193</v>
      </c>
      <c r="G40" s="81">
        <v>4.355</v>
      </c>
      <c r="H40" s="81"/>
      <c r="I40" s="81"/>
      <c r="J40" s="81"/>
      <c r="K40" s="81"/>
      <c r="L40" s="81">
        <v>0.61</v>
      </c>
      <c r="M40" s="81"/>
      <c r="N40" s="81"/>
      <c r="O40" s="81"/>
      <c r="P40" s="81"/>
      <c r="Q40" s="81">
        <v>2.402</v>
      </c>
      <c r="R40" s="81"/>
      <c r="S40" s="81"/>
      <c r="T40" s="81">
        <v>1.468</v>
      </c>
      <c r="U40" s="81"/>
      <c r="V40" s="81"/>
      <c r="W40" s="81"/>
      <c r="X40" s="81"/>
      <c r="Y40" s="81"/>
      <c r="Z40" s="81"/>
      <c r="AA40" s="81">
        <f>SUM(D40:Z40)</f>
        <v>11.028</v>
      </c>
      <c r="AB40" s="104">
        <f t="shared" si="4"/>
        <v>-2.5890000000000004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">
      <c r="B41" s="105" t="s">
        <v>43</v>
      </c>
      <c r="C41" s="106">
        <f aca="true" t="shared" si="10" ref="C41:S41">SUM(C42:C44)</f>
        <v>239.59</v>
      </c>
      <c r="D41" s="106">
        <f t="shared" si="10"/>
        <v>0</v>
      </c>
      <c r="E41" s="106">
        <f t="shared" si="10"/>
        <v>0</v>
      </c>
      <c r="F41" s="106">
        <f t="shared" si="10"/>
        <v>0</v>
      </c>
      <c r="G41" s="106">
        <f t="shared" si="10"/>
        <v>0</v>
      </c>
      <c r="H41" s="106">
        <f t="shared" si="10"/>
        <v>0</v>
      </c>
      <c r="I41" s="106">
        <f t="shared" si="10"/>
        <v>0</v>
      </c>
      <c r="J41" s="106">
        <f t="shared" si="10"/>
        <v>58.351</v>
      </c>
      <c r="K41" s="106">
        <f t="shared" si="10"/>
        <v>0</v>
      </c>
      <c r="L41" s="106">
        <f t="shared" si="10"/>
        <v>0</v>
      </c>
      <c r="M41" s="106">
        <f t="shared" si="10"/>
        <v>0</v>
      </c>
      <c r="N41" s="106">
        <f t="shared" si="10"/>
        <v>0</v>
      </c>
      <c r="O41" s="106">
        <f t="shared" si="10"/>
        <v>4.243</v>
      </c>
      <c r="P41" s="106">
        <f t="shared" si="10"/>
        <v>0</v>
      </c>
      <c r="Q41" s="106">
        <f t="shared" si="10"/>
        <v>0</v>
      </c>
      <c r="R41" s="106">
        <f t="shared" si="10"/>
        <v>0</v>
      </c>
      <c r="S41" s="106">
        <f t="shared" si="10"/>
        <v>66.831</v>
      </c>
      <c r="T41" s="106">
        <f>SUM(T42:T44)</f>
        <v>0</v>
      </c>
      <c r="U41" s="106">
        <f>SUM(U42:U44)</f>
        <v>0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129.425</v>
      </c>
      <c r="AB41" s="104">
        <f t="shared" si="4"/>
        <v>-110.16499999999999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">
      <c r="B42" s="107" t="s">
        <v>20</v>
      </c>
      <c r="C42" s="108">
        <v>196.494</v>
      </c>
      <c r="D42" s="81"/>
      <c r="E42" s="81"/>
      <c r="F42" s="81"/>
      <c r="G42" s="81"/>
      <c r="H42" s="81"/>
      <c r="I42" s="81"/>
      <c r="J42" s="86">
        <v>41.1</v>
      </c>
      <c r="K42" s="81"/>
      <c r="L42" s="81"/>
      <c r="M42" s="81"/>
      <c r="N42" s="81"/>
      <c r="O42" s="81"/>
      <c r="P42" s="110"/>
      <c r="Q42" s="81"/>
      <c r="R42" s="110"/>
      <c r="S42" s="81">
        <v>66.531</v>
      </c>
      <c r="T42" s="81"/>
      <c r="U42" s="81"/>
      <c r="V42" s="86"/>
      <c r="W42" s="86"/>
      <c r="X42" s="81"/>
      <c r="Y42" s="81"/>
      <c r="Z42" s="81"/>
      <c r="AA42" s="81">
        <f>SUM(D42:Z42)</f>
        <v>107.631</v>
      </c>
      <c r="AB42" s="104">
        <f t="shared" si="4"/>
        <v>-88.863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">
      <c r="B43" s="107" t="s">
        <v>22</v>
      </c>
      <c r="C43" s="108">
        <v>32.064</v>
      </c>
      <c r="D43" s="81"/>
      <c r="E43" s="81"/>
      <c r="F43" s="81"/>
      <c r="G43" s="81"/>
      <c r="H43" s="81"/>
      <c r="I43" s="81"/>
      <c r="J43" s="86">
        <v>12.575</v>
      </c>
      <c r="K43" s="81"/>
      <c r="L43" s="81"/>
      <c r="M43" s="81"/>
      <c r="N43" s="81"/>
      <c r="O43" s="81">
        <v>1.455</v>
      </c>
      <c r="P43" s="81"/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14.03</v>
      </c>
      <c r="AB43" s="104">
        <f t="shared" si="4"/>
        <v>-18.034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">
      <c r="B44" s="107" t="s">
        <v>24</v>
      </c>
      <c r="C44" s="108">
        <v>11.032</v>
      </c>
      <c r="D44" s="81"/>
      <c r="E44" s="81"/>
      <c r="F44" s="81"/>
      <c r="G44" s="81"/>
      <c r="H44" s="81"/>
      <c r="I44" s="81"/>
      <c r="J44" s="81">
        <v>4.676</v>
      </c>
      <c r="K44" s="81"/>
      <c r="L44" s="81"/>
      <c r="M44" s="81"/>
      <c r="N44" s="81"/>
      <c r="O44" s="81">
        <v>2.788</v>
      </c>
      <c r="P44" s="81"/>
      <c r="Q44" s="81"/>
      <c r="R44" s="81"/>
      <c r="S44" s="81">
        <v>0.3</v>
      </c>
      <c r="T44" s="81"/>
      <c r="U44" s="81"/>
      <c r="V44" s="81"/>
      <c r="W44" s="81"/>
      <c r="X44" s="81"/>
      <c r="Y44" s="81"/>
      <c r="Z44" s="81"/>
      <c r="AA44" s="81">
        <f>SUM(D44:Z44)</f>
        <v>7.764</v>
      </c>
      <c r="AB44" s="104">
        <f t="shared" si="4"/>
        <v>-3.268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">
      <c r="B45" s="105" t="s">
        <v>44</v>
      </c>
      <c r="C45" s="106">
        <f aca="true" t="shared" si="12" ref="C45:Y45">SUM(C46:C48)</f>
        <v>150.941</v>
      </c>
      <c r="D45" s="106">
        <f t="shared" si="12"/>
        <v>0</v>
      </c>
      <c r="E45" s="106">
        <f t="shared" si="12"/>
        <v>0</v>
      </c>
      <c r="F45" s="106">
        <f t="shared" si="12"/>
        <v>0</v>
      </c>
      <c r="G45" s="106">
        <f t="shared" si="12"/>
        <v>52.6</v>
      </c>
      <c r="H45" s="106">
        <f t="shared" si="12"/>
        <v>0</v>
      </c>
      <c r="I45" s="106">
        <f t="shared" si="12"/>
        <v>0</v>
      </c>
      <c r="J45" s="106">
        <f t="shared" si="12"/>
        <v>0</v>
      </c>
      <c r="K45" s="106">
        <f t="shared" si="12"/>
        <v>0</v>
      </c>
      <c r="L45" s="106">
        <f t="shared" si="12"/>
        <v>0</v>
      </c>
      <c r="M45" s="106">
        <f t="shared" si="12"/>
        <v>0</v>
      </c>
      <c r="N45" s="106">
        <f t="shared" si="12"/>
        <v>0</v>
      </c>
      <c r="O45" s="106">
        <f t="shared" si="12"/>
        <v>0</v>
      </c>
      <c r="P45" s="106">
        <f t="shared" si="12"/>
        <v>30.117</v>
      </c>
      <c r="Q45" s="106">
        <f t="shared" si="12"/>
        <v>0</v>
      </c>
      <c r="R45" s="106">
        <f t="shared" si="12"/>
        <v>0</v>
      </c>
      <c r="S45" s="106">
        <f t="shared" si="12"/>
        <v>0</v>
      </c>
      <c r="T45" s="106">
        <f>SUM(T46:T48)</f>
        <v>0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82.717</v>
      </c>
      <c r="AB45" s="104">
        <f t="shared" si="4"/>
        <v>-68.224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">
      <c r="B46" s="107" t="s">
        <v>20</v>
      </c>
      <c r="C46" s="108">
        <v>138.375</v>
      </c>
      <c r="D46" s="81"/>
      <c r="E46" s="81"/>
      <c r="F46" s="81"/>
      <c r="G46" s="81">
        <v>48.622</v>
      </c>
      <c r="H46" s="81"/>
      <c r="I46" s="81"/>
      <c r="J46" s="86"/>
      <c r="K46" s="81"/>
      <c r="L46" s="81"/>
      <c r="M46" s="81"/>
      <c r="N46" s="81"/>
      <c r="O46" s="81"/>
      <c r="P46" s="81">
        <v>30.117</v>
      </c>
      <c r="Q46" s="81"/>
      <c r="R46" s="110"/>
      <c r="S46" s="81"/>
      <c r="T46" s="81"/>
      <c r="U46" s="81"/>
      <c r="V46" s="86"/>
      <c r="W46" s="86"/>
      <c r="X46" s="86"/>
      <c r="Y46" s="86"/>
      <c r="Z46" s="86"/>
      <c r="AA46" s="81">
        <f>SUM(D46:Z46)</f>
        <v>78.739</v>
      </c>
      <c r="AB46" s="104">
        <f t="shared" si="4"/>
        <v>-59.635999999999996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">
      <c r="B47" s="107" t="s">
        <v>22</v>
      </c>
      <c r="C47" s="108">
        <v>10.206</v>
      </c>
      <c r="D47" s="81"/>
      <c r="E47" s="81"/>
      <c r="F47" s="81"/>
      <c r="G47" s="81">
        <v>3.978</v>
      </c>
      <c r="H47" s="81"/>
      <c r="I47" s="81"/>
      <c r="J47" s="86"/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3.978</v>
      </c>
      <c r="AB47" s="104">
        <f t="shared" si="4"/>
        <v>-6.228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">
      <c r="B48" s="107" t="s">
        <v>24</v>
      </c>
      <c r="C48" s="108">
        <v>2.36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0</v>
      </c>
      <c r="AB48" s="104">
        <f t="shared" si="4"/>
        <v>-2.36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">
      <c r="A49" s="66">
        <v>90501</v>
      </c>
      <c r="B49" s="105" t="s">
        <v>45</v>
      </c>
      <c r="C49" s="106">
        <f>C50+C51</f>
        <v>16.1</v>
      </c>
      <c r="D49" s="106">
        <f aca="true" t="shared" si="13" ref="D49:Y49">D50+D51</f>
        <v>0</v>
      </c>
      <c r="E49" s="106">
        <f t="shared" si="13"/>
        <v>0</v>
      </c>
      <c r="F49" s="106">
        <f t="shared" si="13"/>
        <v>0</v>
      </c>
      <c r="G49" s="106">
        <f t="shared" si="13"/>
        <v>0</v>
      </c>
      <c r="H49" s="106">
        <f t="shared" si="13"/>
        <v>0</v>
      </c>
      <c r="I49" s="106">
        <f t="shared" si="13"/>
        <v>0</v>
      </c>
      <c r="J49" s="106">
        <f t="shared" si="13"/>
        <v>1.4</v>
      </c>
      <c r="K49" s="106">
        <f t="shared" si="13"/>
        <v>0</v>
      </c>
      <c r="L49" s="106">
        <f t="shared" si="13"/>
        <v>0</v>
      </c>
      <c r="M49" s="106">
        <f t="shared" si="13"/>
        <v>0</v>
      </c>
      <c r="N49" s="106">
        <f t="shared" si="13"/>
        <v>0</v>
      </c>
      <c r="O49" s="106">
        <f t="shared" si="13"/>
        <v>0</v>
      </c>
      <c r="P49" s="106">
        <f t="shared" si="13"/>
        <v>0</v>
      </c>
      <c r="Q49" s="106">
        <f t="shared" si="13"/>
        <v>0</v>
      </c>
      <c r="R49" s="106">
        <f t="shared" si="13"/>
        <v>0</v>
      </c>
      <c r="S49" s="106">
        <f t="shared" si="13"/>
        <v>0</v>
      </c>
      <c r="T49" s="106">
        <f>T50+T51</f>
        <v>3.823</v>
      </c>
      <c r="U49" s="106">
        <f>U50+U51</f>
        <v>0</v>
      </c>
      <c r="V49" s="106">
        <f t="shared" si="13"/>
        <v>0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5.223</v>
      </c>
      <c r="AB49" s="104">
        <f t="shared" si="4"/>
        <v>-10.877000000000002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">
      <c r="B50" s="107" t="s">
        <v>20</v>
      </c>
      <c r="C50" s="113">
        <f>0+6</f>
        <v>6</v>
      </c>
      <c r="D50" s="86"/>
      <c r="E50" s="86"/>
      <c r="F50" s="86"/>
      <c r="G50" s="86"/>
      <c r="H50" s="86"/>
      <c r="I50" s="86"/>
      <c r="J50" s="86">
        <v>1.4</v>
      </c>
      <c r="K50" s="86"/>
      <c r="L50" s="86"/>
      <c r="M50" s="86"/>
      <c r="N50" s="86"/>
      <c r="O50" s="86"/>
      <c r="P50" s="86"/>
      <c r="Q50" s="86"/>
      <c r="R50" s="86"/>
      <c r="S50" s="86"/>
      <c r="T50" s="86">
        <v>3.823</v>
      </c>
      <c r="U50" s="86"/>
      <c r="V50" s="86"/>
      <c r="W50" s="86"/>
      <c r="X50" s="86"/>
      <c r="Y50" s="86"/>
      <c r="Z50" s="86"/>
      <c r="AA50" s="81">
        <f>SUM(D50:Z50)</f>
        <v>5.223</v>
      </c>
      <c r="AB50" s="104">
        <f t="shared" si="4"/>
        <v>-0.7770000000000001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">
      <c r="B51" s="107" t="s">
        <v>35</v>
      </c>
      <c r="C51" s="113">
        <f>20.2-10.1</f>
        <v>10.1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0</v>
      </c>
      <c r="AB51" s="104">
        <f t="shared" si="4"/>
        <v>-10.1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">
      <c r="A52" s="66">
        <v>110000</v>
      </c>
      <c r="B52" s="105" t="s">
        <v>46</v>
      </c>
      <c r="C52" s="106">
        <f aca="true" t="shared" si="14" ref="C52:AA52">SUM(C53:C56)</f>
        <v>939.825</v>
      </c>
      <c r="D52" s="106">
        <f t="shared" si="14"/>
        <v>0</v>
      </c>
      <c r="E52" s="106">
        <f t="shared" si="14"/>
        <v>53.071</v>
      </c>
      <c r="F52" s="106">
        <f t="shared" si="14"/>
        <v>0</v>
      </c>
      <c r="G52" s="106">
        <f t="shared" si="14"/>
        <v>0</v>
      </c>
      <c r="H52" s="106">
        <f t="shared" si="14"/>
        <v>77.634</v>
      </c>
      <c r="I52" s="106">
        <f t="shared" si="14"/>
        <v>0</v>
      </c>
      <c r="J52" s="106">
        <f t="shared" si="14"/>
        <v>155.375</v>
      </c>
      <c r="K52" s="106">
        <f t="shared" si="14"/>
        <v>0</v>
      </c>
      <c r="L52" s="106">
        <f t="shared" si="14"/>
        <v>4.261</v>
      </c>
      <c r="M52" s="106">
        <f t="shared" si="14"/>
        <v>0</v>
      </c>
      <c r="N52" s="106">
        <f t="shared" si="14"/>
        <v>0</v>
      </c>
      <c r="O52" s="106">
        <f t="shared" si="14"/>
        <v>5.362</v>
      </c>
      <c r="P52" s="106">
        <f t="shared" si="14"/>
        <v>0</v>
      </c>
      <c r="Q52" s="106">
        <f t="shared" si="14"/>
        <v>0</v>
      </c>
      <c r="R52" s="106">
        <f t="shared" si="14"/>
        <v>221.442</v>
      </c>
      <c r="S52" s="106">
        <f t="shared" si="14"/>
        <v>57.993</v>
      </c>
      <c r="T52" s="106">
        <f>SUM(T53:T56)</f>
        <v>0</v>
      </c>
      <c r="U52" s="106">
        <f t="shared" si="14"/>
        <v>2</v>
      </c>
      <c r="V52" s="106">
        <f t="shared" si="14"/>
        <v>0</v>
      </c>
      <c r="W52" s="106">
        <f t="shared" si="14"/>
        <v>0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577.138</v>
      </c>
      <c r="AB52" s="104">
        <f t="shared" si="4"/>
        <v>-362.687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">
      <c r="B53" s="107" t="s">
        <v>20</v>
      </c>
      <c r="C53" s="108">
        <v>519.421</v>
      </c>
      <c r="D53" s="81"/>
      <c r="E53" s="81"/>
      <c r="F53" s="81"/>
      <c r="G53" s="81"/>
      <c r="H53" s="81"/>
      <c r="I53" s="81"/>
      <c r="J53" s="86">
        <v>155.28</v>
      </c>
      <c r="K53" s="81"/>
      <c r="L53" s="81"/>
      <c r="M53" s="81"/>
      <c r="N53" s="81"/>
      <c r="O53" s="81"/>
      <c r="P53" s="110"/>
      <c r="Q53" s="81"/>
      <c r="R53" s="110">
        <v>221.054</v>
      </c>
      <c r="S53" s="81">
        <v>57.993</v>
      </c>
      <c r="T53" s="81"/>
      <c r="U53" s="81"/>
      <c r="V53" s="86"/>
      <c r="W53" s="86"/>
      <c r="X53" s="86"/>
      <c r="Y53" s="81"/>
      <c r="Z53" s="81"/>
      <c r="AA53" s="81">
        <f>SUM(D53:Z53)</f>
        <v>434.327</v>
      </c>
      <c r="AB53" s="104">
        <f t="shared" si="4"/>
        <v>-85.09400000000005</v>
      </c>
    </row>
    <row r="54" spans="2:28" ht="15">
      <c r="B54" s="107" t="s">
        <v>22</v>
      </c>
      <c r="C54" s="108">
        <v>303.264</v>
      </c>
      <c r="D54" s="81"/>
      <c r="E54" s="81">
        <v>48.961</v>
      </c>
      <c r="F54" s="81"/>
      <c r="G54" s="81"/>
      <c r="H54" s="81">
        <v>77.634</v>
      </c>
      <c r="I54" s="81"/>
      <c r="J54" s="86"/>
      <c r="K54" s="81"/>
      <c r="L54" s="81"/>
      <c r="M54" s="81"/>
      <c r="N54" s="81"/>
      <c r="O54" s="81">
        <v>5.252</v>
      </c>
      <c r="P54" s="110"/>
      <c r="Q54" s="81"/>
      <c r="R54" s="110">
        <v>0.388</v>
      </c>
      <c r="S54" s="81"/>
      <c r="T54" s="81"/>
      <c r="U54" s="81"/>
      <c r="V54" s="86"/>
      <c r="W54" s="86"/>
      <c r="X54" s="86"/>
      <c r="Y54" s="81"/>
      <c r="Z54" s="81"/>
      <c r="AA54" s="81">
        <f>SUM(D54:Z54)</f>
        <v>132.235</v>
      </c>
      <c r="AB54" s="104">
        <f t="shared" si="4"/>
        <v>-171.029</v>
      </c>
    </row>
    <row r="55" spans="2:28" ht="15">
      <c r="B55" s="107" t="s">
        <v>47</v>
      </c>
      <c r="C55" s="108">
        <v>3.02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/>
      <c r="V55" s="86"/>
      <c r="W55" s="86"/>
      <c r="X55" s="86"/>
      <c r="Y55" s="81"/>
      <c r="Z55" s="81"/>
      <c r="AA55" s="81">
        <f>SUM(D55:Z55)</f>
        <v>0</v>
      </c>
      <c r="AB55" s="104">
        <f t="shared" si="4"/>
        <v>-3.02</v>
      </c>
    </row>
    <row r="56" spans="2:29" ht="15">
      <c r="B56" s="107" t="s">
        <v>24</v>
      </c>
      <c r="C56" s="108">
        <v>114.12</v>
      </c>
      <c r="D56" s="81"/>
      <c r="E56" s="81">
        <v>4.11</v>
      </c>
      <c r="F56" s="81"/>
      <c r="G56" s="81"/>
      <c r="H56" s="81"/>
      <c r="I56" s="81"/>
      <c r="J56" s="81">
        <v>0.095</v>
      </c>
      <c r="K56" s="81"/>
      <c r="L56" s="81">
        <v>4.261</v>
      </c>
      <c r="M56" s="81"/>
      <c r="N56" s="81"/>
      <c r="O56" s="81">
        <v>0.11</v>
      </c>
      <c r="P56" s="81"/>
      <c r="Q56" s="81"/>
      <c r="R56" s="81"/>
      <c r="S56" s="81"/>
      <c r="T56" s="81"/>
      <c r="U56" s="81">
        <v>2</v>
      </c>
      <c r="V56" s="81"/>
      <c r="W56" s="81"/>
      <c r="X56" s="81"/>
      <c r="Y56" s="81"/>
      <c r="Z56" s="81"/>
      <c r="AA56" s="81">
        <f>SUM(D56:Z56)</f>
        <v>10.576</v>
      </c>
      <c r="AB56" s="104">
        <f t="shared" si="4"/>
        <v>-103.54400000000001</v>
      </c>
      <c r="AC56" s="66"/>
    </row>
    <row r="57" spans="1:40" s="66" customFormat="1" ht="15">
      <c r="A57" s="66">
        <v>130000</v>
      </c>
      <c r="B57" s="105" t="s">
        <v>48</v>
      </c>
      <c r="C57" s="106">
        <f>SUM(C58:C62)</f>
        <v>598.521</v>
      </c>
      <c r="D57" s="106">
        <f aca="true" t="shared" si="15" ref="D57:AA57">SUM(D58:D62)</f>
        <v>0</v>
      </c>
      <c r="E57" s="106">
        <f t="shared" si="15"/>
        <v>0</v>
      </c>
      <c r="F57" s="106">
        <f t="shared" si="15"/>
        <v>13.414</v>
      </c>
      <c r="G57" s="106">
        <f t="shared" si="15"/>
        <v>2.92</v>
      </c>
      <c r="H57" s="106">
        <f t="shared" si="15"/>
        <v>60.696</v>
      </c>
      <c r="I57" s="106">
        <f t="shared" si="15"/>
        <v>0</v>
      </c>
      <c r="J57" s="106">
        <f t="shared" si="15"/>
        <v>0</v>
      </c>
      <c r="K57" s="106">
        <f t="shared" si="15"/>
        <v>120.951</v>
      </c>
      <c r="L57" s="106">
        <f t="shared" si="15"/>
        <v>0</v>
      </c>
      <c r="M57" s="106">
        <f t="shared" si="15"/>
        <v>10.966</v>
      </c>
      <c r="N57" s="106">
        <f t="shared" si="15"/>
        <v>0</v>
      </c>
      <c r="O57" s="106">
        <f t="shared" si="15"/>
        <v>0</v>
      </c>
      <c r="P57" s="106">
        <f t="shared" si="15"/>
        <v>8.811</v>
      </c>
      <c r="Q57" s="106">
        <f t="shared" si="15"/>
        <v>20.705</v>
      </c>
      <c r="R57" s="106">
        <f t="shared" si="15"/>
        <v>13.143</v>
      </c>
      <c r="S57" s="106">
        <f t="shared" si="15"/>
        <v>0</v>
      </c>
      <c r="T57" s="106">
        <f>SUM(T58:T62)</f>
        <v>0</v>
      </c>
      <c r="U57" s="106">
        <f>SUM(U58:U62)</f>
        <v>153.53300000000002</v>
      </c>
      <c r="V57" s="106">
        <f t="shared" si="15"/>
        <v>0</v>
      </c>
      <c r="W57" s="106">
        <f t="shared" si="15"/>
        <v>0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405.13900000000007</v>
      </c>
      <c r="AB57" s="104">
        <f t="shared" si="4"/>
        <v>-193.3819999999999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">
      <c r="B58" s="107" t="s">
        <v>20</v>
      </c>
      <c r="C58" s="108">
        <f>378.697-11</f>
        <v>367.697</v>
      </c>
      <c r="D58" s="81"/>
      <c r="E58" s="81"/>
      <c r="F58" s="81"/>
      <c r="G58" s="81"/>
      <c r="H58" s="81"/>
      <c r="I58" s="81"/>
      <c r="J58" s="110"/>
      <c r="K58" s="81">
        <v>110.66</v>
      </c>
      <c r="L58" s="81"/>
      <c r="M58" s="81"/>
      <c r="N58" s="81"/>
      <c r="O58" s="81"/>
      <c r="P58" s="110"/>
      <c r="Q58" s="81"/>
      <c r="R58" s="110"/>
      <c r="S58" s="81"/>
      <c r="T58" s="81"/>
      <c r="U58" s="81">
        <v>149.508</v>
      </c>
      <c r="V58" s="86"/>
      <c r="W58" s="86"/>
      <c r="X58" s="81"/>
      <c r="Y58" s="81"/>
      <c r="Z58" s="81"/>
      <c r="AA58" s="81">
        <f>SUM(D58:Z58)</f>
        <v>260.168</v>
      </c>
      <c r="AB58" s="104">
        <f t="shared" si="4"/>
        <v>-107.529</v>
      </c>
    </row>
    <row r="59" spans="2:28" ht="15">
      <c r="B59" s="107" t="s">
        <v>29</v>
      </c>
      <c r="C59" s="108">
        <v>0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/>
      <c r="V59" s="86"/>
      <c r="W59" s="86"/>
      <c r="X59" s="81"/>
      <c r="Y59" s="81"/>
      <c r="Z59" s="81"/>
      <c r="AA59" s="81">
        <f>SUM(D59:Z59)</f>
        <v>0</v>
      </c>
      <c r="AB59" s="104">
        <f t="shared" si="4"/>
        <v>0</v>
      </c>
    </row>
    <row r="60" spans="2:28" ht="15">
      <c r="B60" s="107" t="s">
        <v>22</v>
      </c>
      <c r="C60" s="108">
        <v>99.107</v>
      </c>
      <c r="D60" s="81"/>
      <c r="E60" s="81"/>
      <c r="F60" s="81"/>
      <c r="G60" s="81"/>
      <c r="H60" s="81">
        <v>42.051</v>
      </c>
      <c r="I60" s="81"/>
      <c r="J60" s="86"/>
      <c r="K60" s="81">
        <v>4.496</v>
      </c>
      <c r="L60" s="81"/>
      <c r="M60" s="81">
        <v>0.596</v>
      </c>
      <c r="N60" s="81"/>
      <c r="O60" s="81"/>
      <c r="P60" s="110">
        <v>8.811</v>
      </c>
      <c r="Q60" s="81"/>
      <c r="R60" s="81">
        <v>-1.164</v>
      </c>
      <c r="S60" s="81"/>
      <c r="T60" s="81"/>
      <c r="U60" s="81"/>
      <c r="V60" s="86"/>
      <c r="W60" s="86"/>
      <c r="X60" s="81"/>
      <c r="Y60" s="81"/>
      <c r="Z60" s="81"/>
      <c r="AA60" s="81">
        <f>SUM(D60:Z60)</f>
        <v>54.79</v>
      </c>
      <c r="AB60" s="104">
        <f t="shared" si="4"/>
        <v>-44.317</v>
      </c>
    </row>
    <row r="61" spans="2:28" ht="15">
      <c r="B61" s="107" t="s">
        <v>35</v>
      </c>
      <c r="C61" s="108">
        <v>38.475</v>
      </c>
      <c r="D61" s="81"/>
      <c r="E61" s="81"/>
      <c r="F61" s="81">
        <v>7.907</v>
      </c>
      <c r="G61" s="81"/>
      <c r="H61" s="81"/>
      <c r="I61" s="81"/>
      <c r="J61" s="86"/>
      <c r="K61" s="81"/>
      <c r="L61" s="81"/>
      <c r="M61" s="81"/>
      <c r="N61" s="81"/>
      <c r="O61" s="81"/>
      <c r="P61" s="81"/>
      <c r="Q61" s="81">
        <v>20.705</v>
      </c>
      <c r="R61" s="81"/>
      <c r="S61" s="81"/>
      <c r="T61" s="81"/>
      <c r="U61" s="81"/>
      <c r="V61" s="86"/>
      <c r="W61" s="81"/>
      <c r="X61" s="86"/>
      <c r="Y61" s="86"/>
      <c r="Z61" s="86"/>
      <c r="AA61" s="81">
        <f>SUM(D61:Z61)</f>
        <v>28.612</v>
      </c>
      <c r="AB61" s="104">
        <f t="shared" si="4"/>
        <v>-9.863000000000003</v>
      </c>
    </row>
    <row r="62" spans="2:28" ht="15">
      <c r="B62" s="107" t="s">
        <v>24</v>
      </c>
      <c r="C62" s="108">
        <f>82.242+11</f>
        <v>93.242</v>
      </c>
      <c r="D62" s="81"/>
      <c r="E62" s="81"/>
      <c r="F62" s="81">
        <v>5.507</v>
      </c>
      <c r="G62" s="81">
        <v>2.92</v>
      </c>
      <c r="H62" s="81">
        <v>18.645</v>
      </c>
      <c r="I62" s="81"/>
      <c r="J62" s="81"/>
      <c r="K62" s="81">
        <v>5.795</v>
      </c>
      <c r="L62" s="81"/>
      <c r="M62" s="81">
        <v>10.37</v>
      </c>
      <c r="N62" s="81"/>
      <c r="O62" s="81"/>
      <c r="P62" s="81"/>
      <c r="Q62" s="81"/>
      <c r="R62" s="81">
        <v>14.307</v>
      </c>
      <c r="S62" s="81"/>
      <c r="T62" s="81"/>
      <c r="U62" s="81">
        <v>4.025</v>
      </c>
      <c r="V62" s="81"/>
      <c r="W62" s="81"/>
      <c r="X62" s="81"/>
      <c r="Y62" s="81"/>
      <c r="Z62" s="81"/>
      <c r="AA62" s="81">
        <f>SUM(D62:Z62)</f>
        <v>61.568999999999996</v>
      </c>
      <c r="AB62" s="104">
        <f t="shared" si="4"/>
        <v>-31.67300000000001</v>
      </c>
    </row>
    <row r="63" spans="2:28" ht="15">
      <c r="B63" s="105" t="s">
        <v>50</v>
      </c>
      <c r="C63" s="106">
        <f>C64+C65</f>
        <v>3573.378</v>
      </c>
      <c r="D63" s="106">
        <f aca="true" t="shared" si="16" ref="D63:AA63">D64+D65</f>
        <v>0</v>
      </c>
      <c r="E63" s="106">
        <f t="shared" si="16"/>
        <v>4.416</v>
      </c>
      <c r="F63" s="106">
        <f t="shared" si="16"/>
        <v>610.86</v>
      </c>
      <c r="G63" s="106">
        <f t="shared" si="16"/>
        <v>0</v>
      </c>
      <c r="H63" s="106">
        <f t="shared" si="16"/>
        <v>0</v>
      </c>
      <c r="I63" s="106">
        <f t="shared" si="16"/>
        <v>0</v>
      </c>
      <c r="J63" s="106">
        <f t="shared" si="16"/>
        <v>0</v>
      </c>
      <c r="K63" s="106">
        <f t="shared" si="16"/>
        <v>0</v>
      </c>
      <c r="L63" s="106">
        <f t="shared" si="16"/>
        <v>0</v>
      </c>
      <c r="M63" s="106">
        <f t="shared" si="16"/>
        <v>0</v>
      </c>
      <c r="N63" s="106">
        <f t="shared" si="16"/>
        <v>94.682</v>
      </c>
      <c r="O63" s="106">
        <f t="shared" si="16"/>
        <v>768.084</v>
      </c>
      <c r="P63" s="106">
        <f t="shared" si="16"/>
        <v>0</v>
      </c>
      <c r="Q63" s="106">
        <f t="shared" si="16"/>
        <v>17.281</v>
      </c>
      <c r="R63" s="106">
        <f t="shared" si="16"/>
        <v>19.982</v>
      </c>
      <c r="S63" s="106">
        <f t="shared" si="16"/>
        <v>0</v>
      </c>
      <c r="T63" s="106">
        <f>T64+T65</f>
        <v>355.048</v>
      </c>
      <c r="U63" s="106">
        <f t="shared" si="16"/>
        <v>195.264</v>
      </c>
      <c r="V63" s="106">
        <f t="shared" si="16"/>
        <v>121.095</v>
      </c>
      <c r="W63" s="106">
        <f t="shared" si="16"/>
        <v>0</v>
      </c>
      <c r="X63" s="106">
        <f t="shared" si="16"/>
        <v>0</v>
      </c>
      <c r="Y63" s="106">
        <f t="shared" si="16"/>
        <v>0</v>
      </c>
      <c r="Z63" s="106">
        <f>Z64+Z65</f>
        <v>0</v>
      </c>
      <c r="AA63" s="106">
        <f t="shared" si="16"/>
        <v>2186.712</v>
      </c>
      <c r="AB63" s="104">
        <f t="shared" si="4"/>
        <v>-1386.6660000000002</v>
      </c>
    </row>
    <row r="64" spans="2:28" ht="15">
      <c r="B64" s="118" t="s">
        <v>51</v>
      </c>
      <c r="C64" s="113">
        <f>336.896-231.8</f>
        <v>105.096</v>
      </c>
      <c r="D64" s="86"/>
      <c r="E64" s="86">
        <v>4.416</v>
      </c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4.416</v>
      </c>
      <c r="AB64" s="104">
        <f t="shared" si="4"/>
        <v>-100.68</v>
      </c>
    </row>
    <row r="65" spans="2:28" ht="15">
      <c r="B65" s="118" t="s">
        <v>35</v>
      </c>
      <c r="C65" s="113">
        <f>2347.16+1121.122</f>
        <v>3468.282</v>
      </c>
      <c r="D65" s="86"/>
      <c r="E65" s="86"/>
      <c r="F65" s="86">
        <v>610.86</v>
      </c>
      <c r="G65" s="86"/>
      <c r="H65" s="86"/>
      <c r="I65" s="86"/>
      <c r="J65" s="86"/>
      <c r="K65" s="86"/>
      <c r="L65" s="86"/>
      <c r="M65" s="86"/>
      <c r="N65" s="86">
        <v>94.682</v>
      </c>
      <c r="O65" s="86">
        <v>768.084</v>
      </c>
      <c r="P65" s="86"/>
      <c r="Q65" s="86">
        <v>17.281</v>
      </c>
      <c r="R65" s="86">
        <v>19.982</v>
      </c>
      <c r="S65" s="86"/>
      <c r="T65" s="86">
        <v>355.048</v>
      </c>
      <c r="U65" s="86">
        <v>195.264</v>
      </c>
      <c r="V65" s="86">
        <v>121.095</v>
      </c>
      <c r="W65" s="86"/>
      <c r="X65" s="86"/>
      <c r="Y65" s="86"/>
      <c r="Z65" s="86"/>
      <c r="AA65" s="86">
        <f>SUM(D65:Z65)</f>
        <v>2182.296</v>
      </c>
      <c r="AB65" s="104">
        <f t="shared" si="4"/>
        <v>-1285.9860000000003</v>
      </c>
    </row>
    <row r="66" spans="2:28" ht="15">
      <c r="B66" s="105" t="s">
        <v>52</v>
      </c>
      <c r="C66" s="106">
        <f>C67+C68</f>
        <v>16.454000000000004</v>
      </c>
      <c r="D66" s="106">
        <f aca="true" t="shared" si="17" ref="D66:AA66">D67+D68</f>
        <v>0</v>
      </c>
      <c r="E66" s="106">
        <f t="shared" si="17"/>
        <v>0</v>
      </c>
      <c r="F66" s="106">
        <f t="shared" si="17"/>
        <v>0</v>
      </c>
      <c r="G66" s="106">
        <f t="shared" si="17"/>
        <v>0</v>
      </c>
      <c r="H66" s="106">
        <f t="shared" si="17"/>
        <v>13.577</v>
      </c>
      <c r="I66" s="106">
        <f t="shared" si="17"/>
        <v>0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13.577</v>
      </c>
      <c r="AB66" s="104">
        <f t="shared" si="4"/>
        <v>-2.877000000000004</v>
      </c>
    </row>
    <row r="67" spans="2:28" ht="15">
      <c r="B67" s="107" t="s">
        <v>22</v>
      </c>
      <c r="C67" s="113">
        <f>48.127-32</f>
        <v>16.127000000000002</v>
      </c>
      <c r="D67" s="86"/>
      <c r="E67" s="86"/>
      <c r="F67" s="86"/>
      <c r="G67" s="86"/>
      <c r="H67" s="86">
        <v>13.577</v>
      </c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13.577</v>
      </c>
      <c r="AB67" s="104">
        <f t="shared" si="4"/>
        <v>-2.5500000000000025</v>
      </c>
    </row>
    <row r="68" spans="2:28" ht="15">
      <c r="B68" s="107" t="s">
        <v>35</v>
      </c>
      <c r="C68" s="113">
        <v>0.327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0</v>
      </c>
      <c r="AB68" s="104">
        <f t="shared" si="4"/>
        <v>-0.327</v>
      </c>
    </row>
    <row r="69" spans="2:28" ht="45" customHeight="1" hidden="1">
      <c r="B69" s="119" t="s">
        <v>53</v>
      </c>
      <c r="C69" s="106">
        <v>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>AA70</f>
        <v>107</v>
      </c>
      <c r="AB69" s="104">
        <f t="shared" si="4"/>
        <v>107</v>
      </c>
    </row>
    <row r="70" spans="1:29" ht="15">
      <c r="A70" s="66">
        <v>170703</v>
      </c>
      <c r="B70" s="105" t="s">
        <v>54</v>
      </c>
      <c r="C70" s="106">
        <f>C71</f>
        <v>805.8</v>
      </c>
      <c r="D70" s="106">
        <f aca="true" t="shared" si="18" ref="D70:AA70">D71</f>
        <v>0</v>
      </c>
      <c r="E70" s="106">
        <f t="shared" si="18"/>
        <v>0</v>
      </c>
      <c r="F70" s="106">
        <f t="shared" si="18"/>
        <v>0</v>
      </c>
      <c r="G70" s="106">
        <f t="shared" si="18"/>
        <v>0</v>
      </c>
      <c r="H70" s="106">
        <f t="shared" si="18"/>
        <v>0</v>
      </c>
      <c r="I70" s="106">
        <f t="shared" si="18"/>
        <v>0</v>
      </c>
      <c r="J70" s="106">
        <f t="shared" si="18"/>
        <v>0</v>
      </c>
      <c r="K70" s="106">
        <f t="shared" si="18"/>
        <v>0</v>
      </c>
      <c r="L70" s="106">
        <f t="shared" si="18"/>
        <v>0</v>
      </c>
      <c r="M70" s="106">
        <f t="shared" si="18"/>
        <v>0</v>
      </c>
      <c r="N70" s="106">
        <f t="shared" si="18"/>
        <v>0</v>
      </c>
      <c r="O70" s="106">
        <f t="shared" si="18"/>
        <v>48</v>
      </c>
      <c r="P70" s="106">
        <f t="shared" si="18"/>
        <v>0</v>
      </c>
      <c r="Q70" s="106">
        <f t="shared" si="18"/>
        <v>0</v>
      </c>
      <c r="R70" s="106">
        <f t="shared" si="18"/>
        <v>59</v>
      </c>
      <c r="S70" s="106">
        <f t="shared" si="18"/>
        <v>0</v>
      </c>
      <c r="T70" s="106">
        <f t="shared" si="18"/>
        <v>0</v>
      </c>
      <c r="U70" s="106">
        <f t="shared" si="18"/>
        <v>0</v>
      </c>
      <c r="V70" s="106">
        <f t="shared" si="18"/>
        <v>0</v>
      </c>
      <c r="W70" s="106">
        <f t="shared" si="18"/>
        <v>0</v>
      </c>
      <c r="X70" s="106">
        <f t="shared" si="18"/>
        <v>0</v>
      </c>
      <c r="Y70" s="106">
        <f t="shared" si="18"/>
        <v>0</v>
      </c>
      <c r="Z70" s="106">
        <f t="shared" si="18"/>
        <v>0</v>
      </c>
      <c r="AA70" s="106">
        <f t="shared" si="18"/>
        <v>107</v>
      </c>
      <c r="AB70" s="104">
        <f t="shared" si="4"/>
        <v>-698.8</v>
      </c>
      <c r="AC70" s="94"/>
    </row>
    <row r="71" spans="2:40" s="94" customFormat="1" ht="15">
      <c r="B71" s="118" t="s">
        <v>51</v>
      </c>
      <c r="C71" s="113">
        <f>800+5.8</f>
        <v>805.8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>
        <v>48</v>
      </c>
      <c r="P71" s="86"/>
      <c r="Q71" s="86"/>
      <c r="R71" s="86">
        <v>59</v>
      </c>
      <c r="S71" s="86"/>
      <c r="T71" s="86"/>
      <c r="U71" s="86"/>
      <c r="V71" s="86"/>
      <c r="W71" s="86"/>
      <c r="X71" s="86"/>
      <c r="Y71" s="86"/>
      <c r="Z71" s="86"/>
      <c r="AA71" s="86">
        <f aca="true" t="shared" si="19" ref="AA71:AA77">SUM(D71:Z71)</f>
        <v>107</v>
      </c>
      <c r="AB71" s="104">
        <f t="shared" si="4"/>
        <v>-698.8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7" hidden="1">
      <c r="B72" s="119" t="s">
        <v>55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0</v>
      </c>
      <c r="AB72" s="104">
        <f t="shared" si="4"/>
        <v>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15">
      <c r="B73" s="119" t="s">
        <v>57</v>
      </c>
      <c r="C73" s="106">
        <v>16.182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0</v>
      </c>
      <c r="AB73" s="104">
        <f t="shared" si="4"/>
        <v>-16.182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">
      <c r="B74" s="119" t="s">
        <v>58</v>
      </c>
      <c r="C74" s="106">
        <v>281.128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</v>
      </c>
      <c r="AB74" s="104">
        <f t="shared" si="4"/>
        <v>-281.128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1:40" s="66" customFormat="1" ht="15">
      <c r="A75" s="66">
        <v>250102</v>
      </c>
      <c r="B75" s="105" t="s">
        <v>59</v>
      </c>
      <c r="C75" s="106">
        <v>50.25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</v>
      </c>
      <c r="AB75" s="104">
        <f t="shared" si="4"/>
        <v>-50.25</v>
      </c>
      <c r="AD75" s="67"/>
      <c r="AE75" s="67"/>
      <c r="AF75" s="67"/>
      <c r="AG75" s="68"/>
      <c r="AH75" s="68"/>
      <c r="AI75" s="68"/>
      <c r="AJ75" s="68"/>
      <c r="AK75" s="68"/>
      <c r="AL75" s="68"/>
      <c r="AM75" s="68"/>
      <c r="AN75" s="68"/>
    </row>
    <row r="76" spans="2:40" s="66" customFormat="1" ht="55.5">
      <c r="B76" s="105" t="s">
        <v>60</v>
      </c>
      <c r="C76" s="106">
        <v>2463.9</v>
      </c>
      <c r="D76" s="106"/>
      <c r="E76" s="106">
        <v>1231.95</v>
      </c>
      <c r="F76" s="106"/>
      <c r="G76" s="106"/>
      <c r="H76" s="106"/>
      <c r="I76" s="106"/>
      <c r="J76" s="106">
        <v>1231.95</v>
      </c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2463.9</v>
      </c>
      <c r="AB76" s="104">
        <f t="shared" si="4"/>
        <v>0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42">
      <c r="B77" s="105" t="s">
        <v>63</v>
      </c>
      <c r="C77" s="106">
        <v>0</v>
      </c>
      <c r="D77" s="106">
        <v>212.557</v>
      </c>
      <c r="E77" s="106">
        <v>50.808</v>
      </c>
      <c r="F77" s="106">
        <v>316.374</v>
      </c>
      <c r="G77" s="106">
        <v>59.929</v>
      </c>
      <c r="H77" s="106">
        <v>13.999</v>
      </c>
      <c r="I77" s="106">
        <v>42</v>
      </c>
      <c r="J77" s="106">
        <v>4.86</v>
      </c>
      <c r="K77" s="106">
        <v>20.19</v>
      </c>
      <c r="L77" s="106">
        <v>3.564</v>
      </c>
      <c r="M77" s="106"/>
      <c r="N77" s="106">
        <v>2.085</v>
      </c>
      <c r="O77" s="106">
        <v>910.019</v>
      </c>
      <c r="P77" s="106"/>
      <c r="Q77" s="106">
        <v>182.449</v>
      </c>
      <c r="R77" s="106">
        <v>15.371</v>
      </c>
      <c r="S77" s="106">
        <v>160.177</v>
      </c>
      <c r="T77" s="106">
        <v>530.973</v>
      </c>
      <c r="U77" s="106"/>
      <c r="V77" s="106">
        <v>-3.882</v>
      </c>
      <c r="W77" s="106"/>
      <c r="X77" s="106"/>
      <c r="Y77" s="106"/>
      <c r="Z77" s="106"/>
      <c r="AA77" s="106">
        <f t="shared" si="19"/>
        <v>2521.4730000000004</v>
      </c>
      <c r="AB77" s="104">
        <f t="shared" si="4"/>
        <v>2521.4730000000004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15">
      <c r="B78" s="120" t="s">
        <v>64</v>
      </c>
      <c r="C78" s="121">
        <f>SUM(C79:C85)</f>
        <v>33491.764</v>
      </c>
      <c r="D78" s="121">
        <f aca="true" t="shared" si="20" ref="D78:AA78">SUM(D79:D85)</f>
        <v>212.737</v>
      </c>
      <c r="E78" s="121">
        <f t="shared" si="20"/>
        <v>1387.373</v>
      </c>
      <c r="F78" s="121">
        <f t="shared" si="20"/>
        <v>1212.47</v>
      </c>
      <c r="G78" s="121">
        <f t="shared" si="20"/>
        <v>643.546</v>
      </c>
      <c r="H78" s="121">
        <f t="shared" si="20"/>
        <v>973.2180000000001</v>
      </c>
      <c r="I78" s="121">
        <f t="shared" si="20"/>
        <v>119.566</v>
      </c>
      <c r="J78" s="121">
        <f t="shared" si="20"/>
        <v>6940.186000000001</v>
      </c>
      <c r="K78" s="121">
        <f t="shared" si="20"/>
        <v>1203.1060000000002</v>
      </c>
      <c r="L78" s="121">
        <f t="shared" si="20"/>
        <v>202.494</v>
      </c>
      <c r="M78" s="121">
        <f t="shared" si="20"/>
        <v>364.625</v>
      </c>
      <c r="N78" s="121">
        <f t="shared" si="20"/>
        <v>170.436</v>
      </c>
      <c r="O78" s="121">
        <f t="shared" si="20"/>
        <v>1756.493</v>
      </c>
      <c r="P78" s="121">
        <f t="shared" si="20"/>
        <v>54.658</v>
      </c>
      <c r="Q78" s="121">
        <f t="shared" si="20"/>
        <v>2213.445</v>
      </c>
      <c r="R78" s="121">
        <f t="shared" si="20"/>
        <v>1671.718</v>
      </c>
      <c r="S78" s="121">
        <f t="shared" si="20"/>
        <v>3764.59</v>
      </c>
      <c r="T78" s="121">
        <f>SUM(T79:T85)</f>
        <v>2130.18</v>
      </c>
      <c r="U78" s="121">
        <f t="shared" si="20"/>
        <v>329.14900000000006</v>
      </c>
      <c r="V78" s="121">
        <f t="shared" si="20"/>
        <v>113.692</v>
      </c>
      <c r="W78" s="121">
        <f t="shared" si="20"/>
        <v>0</v>
      </c>
      <c r="X78" s="121">
        <f t="shared" si="20"/>
        <v>0</v>
      </c>
      <c r="Y78" s="121">
        <f t="shared" si="20"/>
        <v>0</v>
      </c>
      <c r="Z78" s="121">
        <f t="shared" si="20"/>
        <v>0</v>
      </c>
      <c r="AA78" s="121">
        <f t="shared" si="20"/>
        <v>25570.682</v>
      </c>
      <c r="AB78" s="104">
        <f t="shared" si="4"/>
        <v>-7921.082000000002</v>
      </c>
      <c r="AC78" s="69"/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1:40" s="72" customFormat="1" ht="15">
      <c r="A79" s="69"/>
      <c r="B79" s="107" t="s">
        <v>20</v>
      </c>
      <c r="C79" s="108">
        <f>C20+C36+C42+C46+C50+C53+C58+C24</f>
        <v>17105.147</v>
      </c>
      <c r="D79" s="108">
        <f aca="true" t="shared" si="21" ref="D79:AA79">D20+D36+D42+D46+D50+D53+D58+D24</f>
        <v>0</v>
      </c>
      <c r="E79" s="108">
        <f t="shared" si="21"/>
        <v>12.169</v>
      </c>
      <c r="F79" s="108">
        <f t="shared" si="21"/>
        <v>28.819000000000003</v>
      </c>
      <c r="G79" s="108">
        <f t="shared" si="21"/>
        <v>158.18599999999998</v>
      </c>
      <c r="H79" s="108">
        <f t="shared" si="21"/>
        <v>273.672</v>
      </c>
      <c r="I79" s="108">
        <f t="shared" si="21"/>
        <v>77.566</v>
      </c>
      <c r="J79" s="108">
        <f t="shared" si="21"/>
        <v>4528.8330000000005</v>
      </c>
      <c r="K79" s="108">
        <f t="shared" si="21"/>
        <v>1105.2450000000001</v>
      </c>
      <c r="L79" s="108">
        <f t="shared" si="21"/>
        <v>165.087</v>
      </c>
      <c r="M79" s="108">
        <f t="shared" si="21"/>
        <v>15.812</v>
      </c>
      <c r="N79" s="108">
        <f t="shared" si="21"/>
        <v>0</v>
      </c>
      <c r="O79" s="108">
        <f t="shared" si="21"/>
        <v>0</v>
      </c>
      <c r="P79" s="108">
        <f t="shared" si="21"/>
        <v>30.117</v>
      </c>
      <c r="Q79" s="108">
        <f t="shared" si="21"/>
        <v>1693.941</v>
      </c>
      <c r="R79" s="108">
        <f t="shared" si="21"/>
        <v>1359.2820000000002</v>
      </c>
      <c r="S79" s="108">
        <f t="shared" si="21"/>
        <v>3297.1220000000003</v>
      </c>
      <c r="T79" s="108">
        <f t="shared" si="21"/>
        <v>1092.4209999999998</v>
      </c>
      <c r="U79" s="108">
        <f t="shared" si="21"/>
        <v>149.508</v>
      </c>
      <c r="V79" s="108">
        <f t="shared" si="21"/>
        <v>0</v>
      </c>
      <c r="W79" s="108">
        <f t="shared" si="21"/>
        <v>0</v>
      </c>
      <c r="X79" s="108">
        <f t="shared" si="21"/>
        <v>0</v>
      </c>
      <c r="Y79" s="108">
        <f t="shared" si="21"/>
        <v>0</v>
      </c>
      <c r="Z79" s="108">
        <f t="shared" si="21"/>
        <v>0</v>
      </c>
      <c r="AA79" s="108">
        <f t="shared" si="21"/>
        <v>13987.779999999999</v>
      </c>
      <c r="AB79" s="104">
        <f t="shared" si="4"/>
        <v>-3117.367000000002</v>
      </c>
      <c r="AC79" s="69"/>
      <c r="AG79" s="73"/>
      <c r="AH79" s="73"/>
      <c r="AI79" s="73"/>
      <c r="AJ79" s="73"/>
      <c r="AK79" s="73"/>
      <c r="AL79" s="73"/>
      <c r="AM79" s="73"/>
      <c r="AN79" s="73"/>
    </row>
    <row r="80" spans="1:40" s="72" customFormat="1" ht="15">
      <c r="A80" s="69"/>
      <c r="B80" s="107" t="s">
        <v>29</v>
      </c>
      <c r="C80" s="108">
        <f>C25+C37+C59</f>
        <v>13.505</v>
      </c>
      <c r="D80" s="108">
        <f aca="true" t="shared" si="22" ref="D80:AA80">D25+D37+D59</f>
        <v>0</v>
      </c>
      <c r="E80" s="108">
        <f t="shared" si="22"/>
        <v>0</v>
      </c>
      <c r="F80" s="108">
        <f t="shared" si="22"/>
        <v>1.793</v>
      </c>
      <c r="G80" s="108">
        <f t="shared" si="22"/>
        <v>1.5</v>
      </c>
      <c r="H80" s="108">
        <f t="shared" si="22"/>
        <v>0</v>
      </c>
      <c r="I80" s="108">
        <f t="shared" si="22"/>
        <v>0</v>
      </c>
      <c r="J80" s="108">
        <f t="shared" si="22"/>
        <v>0</v>
      </c>
      <c r="K80" s="108">
        <f t="shared" si="22"/>
        <v>0</v>
      </c>
      <c r="L80" s="108">
        <f t="shared" si="22"/>
        <v>0</v>
      </c>
      <c r="M80" s="108">
        <f t="shared" si="22"/>
        <v>0.999</v>
      </c>
      <c r="N80" s="108">
        <f t="shared" si="22"/>
        <v>0</v>
      </c>
      <c r="O80" s="108">
        <f t="shared" si="22"/>
        <v>0</v>
      </c>
      <c r="P80" s="108">
        <f t="shared" si="22"/>
        <v>0</v>
      </c>
      <c r="Q80" s="108">
        <f t="shared" si="22"/>
        <v>0</v>
      </c>
      <c r="R80" s="108">
        <f t="shared" si="22"/>
        <v>0</v>
      </c>
      <c r="S80" s="108">
        <f t="shared" si="22"/>
        <v>0</v>
      </c>
      <c r="T80" s="108">
        <f t="shared" si="22"/>
        <v>0</v>
      </c>
      <c r="U80" s="108">
        <f t="shared" si="22"/>
        <v>0</v>
      </c>
      <c r="V80" s="108">
        <f t="shared" si="22"/>
        <v>0</v>
      </c>
      <c r="W80" s="108">
        <f t="shared" si="22"/>
        <v>0</v>
      </c>
      <c r="X80" s="108">
        <f t="shared" si="22"/>
        <v>0</v>
      </c>
      <c r="Y80" s="108">
        <f t="shared" si="22"/>
        <v>0</v>
      </c>
      <c r="Z80" s="108">
        <f t="shared" si="22"/>
        <v>0</v>
      </c>
      <c r="AA80" s="108">
        <f t="shared" si="22"/>
        <v>4.292</v>
      </c>
      <c r="AB80" s="104">
        <f t="shared" si="4"/>
        <v>-9.213000000000001</v>
      </c>
      <c r="AC80" s="69"/>
      <c r="AG80" s="73"/>
      <c r="AH80" s="73"/>
      <c r="AI80" s="73"/>
      <c r="AJ80" s="73"/>
      <c r="AK80" s="73"/>
      <c r="AL80" s="73"/>
      <c r="AM80" s="73"/>
      <c r="AN80" s="73"/>
    </row>
    <row r="81" spans="1:40" s="72" customFormat="1" ht="15">
      <c r="A81" s="69"/>
      <c r="B81" s="107" t="s">
        <v>31</v>
      </c>
      <c r="C81" s="108">
        <f>C26+C38</f>
        <v>763.1279999999999</v>
      </c>
      <c r="D81" s="108">
        <f aca="true" t="shared" si="23" ref="D81:AA81">D26+D38</f>
        <v>0</v>
      </c>
      <c r="E81" s="108">
        <f t="shared" si="23"/>
        <v>27.076</v>
      </c>
      <c r="F81" s="108">
        <f t="shared" si="23"/>
        <v>8.699</v>
      </c>
      <c r="G81" s="108">
        <f t="shared" si="23"/>
        <v>62.198</v>
      </c>
      <c r="H81" s="108">
        <f t="shared" si="23"/>
        <v>6.136</v>
      </c>
      <c r="I81" s="108">
        <f t="shared" si="23"/>
        <v>0</v>
      </c>
      <c r="J81" s="108">
        <f t="shared" si="23"/>
        <v>42.39</v>
      </c>
      <c r="K81" s="108">
        <f t="shared" si="23"/>
        <v>52.909</v>
      </c>
      <c r="L81" s="108">
        <f t="shared" si="23"/>
        <v>0</v>
      </c>
      <c r="M81" s="108">
        <f t="shared" si="23"/>
        <v>147.311</v>
      </c>
      <c r="N81" s="108">
        <f t="shared" si="23"/>
        <v>34.944</v>
      </c>
      <c r="O81" s="108">
        <f t="shared" si="23"/>
        <v>0</v>
      </c>
      <c r="P81" s="108">
        <f t="shared" si="23"/>
        <v>0</v>
      </c>
      <c r="Q81" s="108">
        <f t="shared" si="23"/>
        <v>86.818</v>
      </c>
      <c r="R81" s="108">
        <f t="shared" si="23"/>
        <v>67.215</v>
      </c>
      <c r="S81" s="108">
        <f t="shared" si="23"/>
        <v>34.229</v>
      </c>
      <c r="T81" s="108">
        <f t="shared" si="23"/>
        <v>3.3</v>
      </c>
      <c r="U81" s="108">
        <f t="shared" si="23"/>
        <v>0</v>
      </c>
      <c r="V81" s="108">
        <f t="shared" si="23"/>
        <v>0</v>
      </c>
      <c r="W81" s="108">
        <f t="shared" si="23"/>
        <v>0</v>
      </c>
      <c r="X81" s="108">
        <f t="shared" si="23"/>
        <v>0</v>
      </c>
      <c r="Y81" s="108">
        <f t="shared" si="23"/>
        <v>0</v>
      </c>
      <c r="Z81" s="108">
        <f t="shared" si="23"/>
        <v>0</v>
      </c>
      <c r="AA81" s="108">
        <f t="shared" si="23"/>
        <v>573.225</v>
      </c>
      <c r="AB81" s="104">
        <f t="shared" si="4"/>
        <v>-189.9029999999999</v>
      </c>
      <c r="AC81" s="69"/>
      <c r="AG81" s="73"/>
      <c r="AH81" s="73"/>
      <c r="AI81" s="73"/>
      <c r="AJ81" s="73"/>
      <c r="AK81" s="73"/>
      <c r="AL81" s="73"/>
      <c r="AM81" s="73"/>
      <c r="AN81" s="73"/>
    </row>
    <row r="82" spans="1:40" s="72" customFormat="1" ht="15">
      <c r="A82" s="69"/>
      <c r="B82" s="107" t="s">
        <v>22</v>
      </c>
      <c r="C82" s="108">
        <f>C21+C27+C39+C43+C47+C54+C60+C67</f>
        <v>4597.287000000001</v>
      </c>
      <c r="D82" s="108">
        <f aca="true" t="shared" si="24" ref="D82:AA82">D21+D27+D39+D43+D47+D54+D60+D67</f>
        <v>0</v>
      </c>
      <c r="E82" s="108">
        <f t="shared" si="24"/>
        <v>49.193999999999996</v>
      </c>
      <c r="F82" s="108">
        <f t="shared" si="24"/>
        <v>124.682</v>
      </c>
      <c r="G82" s="108">
        <f t="shared" si="24"/>
        <v>309.40900000000005</v>
      </c>
      <c r="H82" s="108">
        <f t="shared" si="24"/>
        <v>504.285</v>
      </c>
      <c r="I82" s="108">
        <f t="shared" si="24"/>
        <v>0</v>
      </c>
      <c r="J82" s="108">
        <f t="shared" si="24"/>
        <v>1045.959</v>
      </c>
      <c r="K82" s="108">
        <f t="shared" si="24"/>
        <v>13.798</v>
      </c>
      <c r="L82" s="108">
        <f t="shared" si="24"/>
        <v>0</v>
      </c>
      <c r="M82" s="108">
        <f t="shared" si="24"/>
        <v>27.935</v>
      </c>
      <c r="N82" s="108">
        <f t="shared" si="24"/>
        <v>12.779</v>
      </c>
      <c r="O82" s="108">
        <f t="shared" si="24"/>
        <v>27.481999999999996</v>
      </c>
      <c r="P82" s="108">
        <f t="shared" si="24"/>
        <v>8.828</v>
      </c>
      <c r="Q82" s="108">
        <f t="shared" si="24"/>
        <v>113.17200000000001</v>
      </c>
      <c r="R82" s="108">
        <f t="shared" si="24"/>
        <v>25.259</v>
      </c>
      <c r="S82" s="108">
        <f t="shared" si="24"/>
        <v>118.411</v>
      </c>
      <c r="T82" s="108">
        <f t="shared" si="24"/>
        <v>1.155</v>
      </c>
      <c r="U82" s="108">
        <f t="shared" si="24"/>
        <v>-25.5</v>
      </c>
      <c r="V82" s="108">
        <f t="shared" si="24"/>
        <v>-3.245</v>
      </c>
      <c r="W82" s="108">
        <f t="shared" si="24"/>
        <v>0</v>
      </c>
      <c r="X82" s="108">
        <f t="shared" si="24"/>
        <v>0</v>
      </c>
      <c r="Y82" s="108">
        <f t="shared" si="24"/>
        <v>0</v>
      </c>
      <c r="Z82" s="108">
        <f t="shared" si="24"/>
        <v>0</v>
      </c>
      <c r="AA82" s="108">
        <f t="shared" si="24"/>
        <v>2353.6030000000005</v>
      </c>
      <c r="AB82" s="104">
        <f>AA82-C82</f>
        <v>-2243.6840000000007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">
      <c r="A83" s="69"/>
      <c r="B83" s="107" t="s">
        <v>47</v>
      </c>
      <c r="C83" s="108">
        <f>C55</f>
        <v>3.02</v>
      </c>
      <c r="D83" s="108">
        <f aca="true" t="shared" si="25" ref="D83:AA83">D55</f>
        <v>0</v>
      </c>
      <c r="E83" s="108">
        <f t="shared" si="25"/>
        <v>0</v>
      </c>
      <c r="F83" s="108">
        <f t="shared" si="25"/>
        <v>0</v>
      </c>
      <c r="G83" s="108">
        <f t="shared" si="25"/>
        <v>0</v>
      </c>
      <c r="H83" s="108">
        <f t="shared" si="25"/>
        <v>0</v>
      </c>
      <c r="I83" s="108">
        <f t="shared" si="25"/>
        <v>0</v>
      </c>
      <c r="J83" s="108">
        <f t="shared" si="25"/>
        <v>0</v>
      </c>
      <c r="K83" s="108">
        <f t="shared" si="25"/>
        <v>0</v>
      </c>
      <c r="L83" s="108">
        <f t="shared" si="25"/>
        <v>0</v>
      </c>
      <c r="M83" s="108">
        <f t="shared" si="25"/>
        <v>0</v>
      </c>
      <c r="N83" s="108">
        <f t="shared" si="25"/>
        <v>0</v>
      </c>
      <c r="O83" s="108">
        <f t="shared" si="25"/>
        <v>0</v>
      </c>
      <c r="P83" s="108">
        <f t="shared" si="25"/>
        <v>0</v>
      </c>
      <c r="Q83" s="108">
        <f t="shared" si="25"/>
        <v>0</v>
      </c>
      <c r="R83" s="108">
        <f t="shared" si="25"/>
        <v>0</v>
      </c>
      <c r="S83" s="108">
        <f t="shared" si="25"/>
        <v>0</v>
      </c>
      <c r="T83" s="108">
        <f t="shared" si="25"/>
        <v>0</v>
      </c>
      <c r="U83" s="108">
        <f t="shared" si="25"/>
        <v>0</v>
      </c>
      <c r="V83" s="108">
        <f t="shared" si="25"/>
        <v>0</v>
      </c>
      <c r="W83" s="108">
        <f t="shared" si="25"/>
        <v>0</v>
      </c>
      <c r="X83" s="108">
        <f t="shared" si="25"/>
        <v>0</v>
      </c>
      <c r="Y83" s="108">
        <f t="shared" si="25"/>
        <v>0</v>
      </c>
      <c r="Z83" s="108">
        <f t="shared" si="25"/>
        <v>0</v>
      </c>
      <c r="AA83" s="108">
        <f t="shared" si="25"/>
        <v>0</v>
      </c>
      <c r="AB83" s="104">
        <f>AA83-C83</f>
        <v>-3.02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">
      <c r="A84" s="69"/>
      <c r="B84" s="107" t="s">
        <v>35</v>
      </c>
      <c r="C84" s="108">
        <f>C30+C51+C61+C65+C76+C31+C68</f>
        <v>7263.835</v>
      </c>
      <c r="D84" s="108">
        <f aca="true" t="shared" si="26" ref="D84:AA84">D30+D51+D61+D65+D76+D31+D68</f>
        <v>0</v>
      </c>
      <c r="E84" s="108">
        <f t="shared" si="26"/>
        <v>1231.95</v>
      </c>
      <c r="F84" s="108">
        <f t="shared" si="26"/>
        <v>618.767</v>
      </c>
      <c r="G84" s="108">
        <f t="shared" si="26"/>
        <v>12.061</v>
      </c>
      <c r="H84" s="108">
        <f t="shared" si="26"/>
        <v>29.653</v>
      </c>
      <c r="I84" s="108">
        <f t="shared" si="26"/>
        <v>0</v>
      </c>
      <c r="J84" s="108">
        <f t="shared" si="26"/>
        <v>1231.95</v>
      </c>
      <c r="K84" s="108">
        <f t="shared" si="26"/>
        <v>0</v>
      </c>
      <c r="L84" s="108">
        <f t="shared" si="26"/>
        <v>0</v>
      </c>
      <c r="M84" s="108">
        <f t="shared" si="26"/>
        <v>17.932</v>
      </c>
      <c r="N84" s="108">
        <f t="shared" si="26"/>
        <v>94.682</v>
      </c>
      <c r="O84" s="108">
        <f t="shared" si="26"/>
        <v>768.084</v>
      </c>
      <c r="P84" s="108">
        <f t="shared" si="26"/>
        <v>0</v>
      </c>
      <c r="Q84" s="108">
        <f t="shared" si="26"/>
        <v>125.07999999999998</v>
      </c>
      <c r="R84" s="108">
        <f t="shared" si="26"/>
        <v>19.982</v>
      </c>
      <c r="S84" s="108">
        <f t="shared" si="26"/>
        <v>0</v>
      </c>
      <c r="T84" s="108">
        <f t="shared" si="26"/>
        <v>379.949</v>
      </c>
      <c r="U84" s="108">
        <f t="shared" si="26"/>
        <v>195.264</v>
      </c>
      <c r="V84" s="108">
        <f t="shared" si="26"/>
        <v>121.095</v>
      </c>
      <c r="W84" s="108">
        <f t="shared" si="26"/>
        <v>0</v>
      </c>
      <c r="X84" s="108">
        <f t="shared" si="26"/>
        <v>0</v>
      </c>
      <c r="Y84" s="108">
        <f t="shared" si="26"/>
        <v>0</v>
      </c>
      <c r="Z84" s="108">
        <f t="shared" si="26"/>
        <v>0</v>
      </c>
      <c r="AA84" s="108">
        <f t="shared" si="26"/>
        <v>4846.4490000000005</v>
      </c>
      <c r="AB84" s="104">
        <f>AA84-C84</f>
        <v>-2417.3859999999995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">
      <c r="A85" s="69"/>
      <c r="B85" s="107" t="s">
        <v>24</v>
      </c>
      <c r="C85" s="108">
        <f>C22+C28+C32+C33+C40+C44+C48+C56+C62+C71+C74+C75+C77+C64+C73+C72+C34+C69</f>
        <v>3745.8420000000006</v>
      </c>
      <c r="D85" s="108">
        <f aca="true" t="shared" si="27" ref="D85:AA85">D22+D28+D32+D33+D40+D44+D48+D56+D62+D71+D74+D75+D77+D64+D73+D72+D34+D69</f>
        <v>212.737</v>
      </c>
      <c r="E85" s="108">
        <f t="shared" si="27"/>
        <v>66.984</v>
      </c>
      <c r="F85" s="108">
        <f t="shared" si="27"/>
        <v>429.71000000000004</v>
      </c>
      <c r="G85" s="108">
        <f t="shared" si="27"/>
        <v>100.19200000000001</v>
      </c>
      <c r="H85" s="108">
        <f t="shared" si="27"/>
        <v>159.472</v>
      </c>
      <c r="I85" s="108">
        <f t="shared" si="27"/>
        <v>42</v>
      </c>
      <c r="J85" s="108">
        <f t="shared" si="27"/>
        <v>91.054</v>
      </c>
      <c r="K85" s="108">
        <f t="shared" si="27"/>
        <v>31.154000000000003</v>
      </c>
      <c r="L85" s="108">
        <f t="shared" si="27"/>
        <v>37.407000000000004</v>
      </c>
      <c r="M85" s="108">
        <f t="shared" si="27"/>
        <v>154.63600000000002</v>
      </c>
      <c r="N85" s="108">
        <f t="shared" si="27"/>
        <v>28.031</v>
      </c>
      <c r="O85" s="108">
        <f t="shared" si="27"/>
        <v>960.927</v>
      </c>
      <c r="P85" s="108">
        <f t="shared" si="27"/>
        <v>15.713</v>
      </c>
      <c r="Q85" s="108">
        <f t="shared" si="27"/>
        <v>194.43400000000003</v>
      </c>
      <c r="R85" s="108">
        <f t="shared" si="27"/>
        <v>199.98000000000002</v>
      </c>
      <c r="S85" s="108">
        <f t="shared" si="27"/>
        <v>314.828</v>
      </c>
      <c r="T85" s="108">
        <f t="shared" si="27"/>
        <v>653.355</v>
      </c>
      <c r="U85" s="108">
        <f t="shared" si="27"/>
        <v>9.877</v>
      </c>
      <c r="V85" s="108">
        <f t="shared" si="27"/>
        <v>-4.158</v>
      </c>
      <c r="W85" s="108">
        <f t="shared" si="27"/>
        <v>0</v>
      </c>
      <c r="X85" s="108">
        <f t="shared" si="27"/>
        <v>0</v>
      </c>
      <c r="Y85" s="108">
        <f t="shared" si="27"/>
        <v>0</v>
      </c>
      <c r="Z85" s="108">
        <f t="shared" si="27"/>
        <v>0</v>
      </c>
      <c r="AA85" s="108">
        <f t="shared" si="27"/>
        <v>3805.3330000000005</v>
      </c>
      <c r="AB85" s="104">
        <f>AA85-C85</f>
        <v>59.490999999999985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">
      <c r="A86" s="69"/>
      <c r="B86" s="69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71"/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">
      <c r="A87" s="69"/>
      <c r="B87" s="69" t="s">
        <v>65</v>
      </c>
      <c r="C87" s="124">
        <f aca="true" t="shared" si="28" ref="C87:Y87">C18-C78</f>
        <v>0</v>
      </c>
      <c r="D87" s="125">
        <f t="shared" si="28"/>
        <v>0</v>
      </c>
      <c r="E87" s="125">
        <f t="shared" si="28"/>
        <v>0</v>
      </c>
      <c r="F87" s="125">
        <f t="shared" si="28"/>
        <v>0</v>
      </c>
      <c r="G87" s="125">
        <f t="shared" si="28"/>
        <v>0</v>
      </c>
      <c r="H87" s="125">
        <f t="shared" si="28"/>
        <v>0</v>
      </c>
      <c r="I87" s="125">
        <f t="shared" si="28"/>
        <v>0</v>
      </c>
      <c r="J87" s="125">
        <f t="shared" si="28"/>
        <v>0</v>
      </c>
      <c r="K87" s="125">
        <f t="shared" si="28"/>
        <v>0</v>
      </c>
      <c r="L87" s="125">
        <f t="shared" si="28"/>
        <v>0</v>
      </c>
      <c r="M87" s="125">
        <f t="shared" si="28"/>
        <v>0</v>
      </c>
      <c r="N87" s="125">
        <f t="shared" si="28"/>
        <v>0</v>
      </c>
      <c r="O87" s="125">
        <f t="shared" si="28"/>
        <v>0</v>
      </c>
      <c r="P87" s="125">
        <f t="shared" si="28"/>
        <v>0</v>
      </c>
      <c r="Q87" s="125">
        <f t="shared" si="28"/>
        <v>0</v>
      </c>
      <c r="R87" s="125">
        <f t="shared" si="28"/>
        <v>0</v>
      </c>
      <c r="S87" s="125">
        <f t="shared" si="28"/>
        <v>0</v>
      </c>
      <c r="T87" s="125">
        <f t="shared" si="28"/>
        <v>0</v>
      </c>
      <c r="U87" s="125">
        <f t="shared" si="28"/>
        <v>0</v>
      </c>
      <c r="V87" s="125">
        <f t="shared" si="28"/>
        <v>0</v>
      </c>
      <c r="W87" s="125">
        <f t="shared" si="28"/>
        <v>0</v>
      </c>
      <c r="X87" s="125">
        <f t="shared" si="28"/>
        <v>0</v>
      </c>
      <c r="Y87" s="125">
        <f t="shared" si="28"/>
        <v>0</v>
      </c>
      <c r="Z87" s="125"/>
      <c r="AA87" s="125">
        <f>AA18-AA78</f>
        <v>-107</v>
      </c>
      <c r="AB87" s="71"/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">
      <c r="A88" s="69"/>
      <c r="B88" s="69"/>
      <c r="C88" s="126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71"/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">
      <c r="A89" s="69"/>
      <c r="B89" s="69"/>
      <c r="C89" s="126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1" spans="1:40" s="72" customFormat="1" ht="1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127"/>
      <c r="AG91" s="73"/>
      <c r="AH91" s="73"/>
      <c r="AI91" s="73"/>
      <c r="AJ91" s="73"/>
      <c r="AK91" s="73"/>
      <c r="AL91" s="73"/>
      <c r="AM91" s="73"/>
      <c r="AN91" s="73"/>
    </row>
    <row r="170" ht="15">
      <c r="B170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view="pageBreakPreview" zoomScale="85" zoomScaleNormal="70" zoomScaleSheetLayoutView="85" workbookViewId="0" topLeftCell="B1">
      <pane xSplit="4740" ySplit="2568" topLeftCell="G1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3" width="8.7109375" style="69" customWidth="1"/>
    <col min="24" max="24" width="8.7109375" style="69" hidden="1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7.25">
      <c r="B3" s="137" t="s">
        <v>72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">
      <c r="B4" s="69" t="s">
        <v>0</v>
      </c>
      <c r="AA4" s="70" t="s">
        <v>1</v>
      </c>
    </row>
    <row r="5" spans="2:27" ht="69">
      <c r="B5" s="74" t="s">
        <v>2</v>
      </c>
      <c r="C5" s="75" t="s">
        <v>3</v>
      </c>
      <c r="D5" s="76">
        <v>1</v>
      </c>
      <c r="E5" s="74">
        <v>2</v>
      </c>
      <c r="F5" s="74">
        <v>3</v>
      </c>
      <c r="G5" s="74">
        <v>4</v>
      </c>
      <c r="H5" s="74">
        <v>5</v>
      </c>
      <c r="I5" s="74">
        <v>8</v>
      </c>
      <c r="J5" s="77">
        <v>9</v>
      </c>
      <c r="K5" s="74">
        <v>10</v>
      </c>
      <c r="L5" s="74">
        <v>11</v>
      </c>
      <c r="M5" s="74">
        <v>12</v>
      </c>
      <c r="N5" s="74">
        <v>15</v>
      </c>
      <c r="O5" s="74">
        <v>16</v>
      </c>
      <c r="P5" s="74">
        <v>17</v>
      </c>
      <c r="Q5" s="74">
        <v>18</v>
      </c>
      <c r="R5" s="74">
        <v>19</v>
      </c>
      <c r="S5" s="74">
        <v>22</v>
      </c>
      <c r="T5" s="74">
        <v>23</v>
      </c>
      <c r="U5" s="74">
        <v>24</v>
      </c>
      <c r="V5" s="77">
        <v>25</v>
      </c>
      <c r="W5" s="74">
        <v>26</v>
      </c>
      <c r="X5" s="77"/>
      <c r="Y5" s="77"/>
      <c r="Z5" s="77"/>
      <c r="AA5" s="76" t="s">
        <v>4</v>
      </c>
    </row>
    <row r="6" spans="2:27" ht="27">
      <c r="B6" s="78" t="s">
        <v>5</v>
      </c>
      <c r="C6" s="79">
        <f>SUM(D6:Y6)</f>
        <v>37.2</v>
      </c>
      <c r="D6" s="80"/>
      <c r="E6" s="81"/>
      <c r="F6" s="82"/>
      <c r="G6" s="81">
        <v>8</v>
      </c>
      <c r="H6" s="82"/>
      <c r="I6" s="82"/>
      <c r="J6" s="83"/>
      <c r="K6" s="82">
        <v>29.2</v>
      </c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">
      <c r="B7" s="84" t="s">
        <v>6</v>
      </c>
      <c r="C7" s="79">
        <f>SUM(D7:Y7)</f>
        <v>3600.3</v>
      </c>
      <c r="D7" s="85">
        <v>1800.1</v>
      </c>
      <c r="E7" s="81"/>
      <c r="F7" s="81"/>
      <c r="G7" s="81"/>
      <c r="H7" s="81"/>
      <c r="I7" s="81"/>
      <c r="J7" s="86"/>
      <c r="K7" s="81"/>
      <c r="L7" s="81">
        <v>1800.2</v>
      </c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">
      <c r="B8" s="87" t="s">
        <v>8</v>
      </c>
      <c r="C8" s="88">
        <f aca="true" t="shared" si="0" ref="C8:C16">SUM(D8:Z8)</f>
        <v>22862.73</v>
      </c>
      <c r="D8" s="89">
        <f aca="true" t="shared" si="1" ref="D8:Y8">SUM(D9:D16)</f>
        <v>275.49999999999994</v>
      </c>
      <c r="E8" s="89">
        <f t="shared" si="1"/>
        <v>283.3999999999999</v>
      </c>
      <c r="F8" s="89">
        <f t="shared" si="1"/>
        <v>314.40000000000003</v>
      </c>
      <c r="G8" s="89">
        <f t="shared" si="1"/>
        <v>725.8</v>
      </c>
      <c r="H8" s="89">
        <f t="shared" si="1"/>
        <v>4062.9</v>
      </c>
      <c r="I8" s="89">
        <f>SUM(I9:I16)</f>
        <v>2072.8999999999996</v>
      </c>
      <c r="J8" s="89">
        <f t="shared" si="1"/>
        <v>470</v>
      </c>
      <c r="K8" s="89">
        <f>SUM(K9:K16)</f>
        <v>397.99999999999994</v>
      </c>
      <c r="L8" s="89">
        <f t="shared" si="1"/>
        <v>554.9000000000001</v>
      </c>
      <c r="M8" s="89">
        <f t="shared" si="1"/>
        <v>1252.4</v>
      </c>
      <c r="N8" s="89">
        <f t="shared" si="1"/>
        <v>1016.63</v>
      </c>
      <c r="O8" s="89">
        <f t="shared" si="1"/>
        <v>403.00000000000006</v>
      </c>
      <c r="P8" s="89">
        <f t="shared" si="1"/>
        <v>574.6</v>
      </c>
      <c r="Q8" s="89">
        <f t="shared" si="1"/>
        <v>845</v>
      </c>
      <c r="R8" s="89">
        <f t="shared" si="1"/>
        <v>1500.1000000000001</v>
      </c>
      <c r="S8" s="89">
        <f>SUM(S9:S16)</f>
        <v>1343.1999999999998</v>
      </c>
      <c r="T8" s="89">
        <f>SUM(T9:T16)</f>
        <v>1017.8000000000001</v>
      </c>
      <c r="U8" s="89">
        <f t="shared" si="1"/>
        <v>2890.5</v>
      </c>
      <c r="V8" s="89">
        <f t="shared" si="1"/>
        <v>1790.3</v>
      </c>
      <c r="W8" s="89">
        <f t="shared" si="1"/>
        <v>1071.4</v>
      </c>
      <c r="X8" s="89">
        <f t="shared" si="1"/>
        <v>0</v>
      </c>
      <c r="Y8" s="89">
        <f t="shared" si="1"/>
        <v>0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">
      <c r="B9" s="27" t="s">
        <v>9</v>
      </c>
      <c r="C9" s="90">
        <f t="shared" si="0"/>
        <v>10659.599999999999</v>
      </c>
      <c r="D9" s="91">
        <v>68.8</v>
      </c>
      <c r="E9" s="86">
        <v>67.6</v>
      </c>
      <c r="F9" s="86">
        <v>44.4</v>
      </c>
      <c r="G9" s="86">
        <v>592.4</v>
      </c>
      <c r="H9" s="86">
        <v>1565.2</v>
      </c>
      <c r="I9" s="86">
        <v>1766.3</v>
      </c>
      <c r="J9" s="86">
        <v>192.2</v>
      </c>
      <c r="K9" s="86">
        <v>103</v>
      </c>
      <c r="L9" s="86">
        <v>311.3</v>
      </c>
      <c r="M9" s="86">
        <v>955.2</v>
      </c>
      <c r="N9" s="86">
        <v>370.2</v>
      </c>
      <c r="O9" s="86">
        <v>120.2</v>
      </c>
      <c r="P9" s="86">
        <v>69</v>
      </c>
      <c r="Q9" s="86">
        <v>205.5</v>
      </c>
      <c r="R9" s="92">
        <v>1089.4</v>
      </c>
      <c r="S9" s="92">
        <v>844.6</v>
      </c>
      <c r="T9" s="86">
        <v>368.9</v>
      </c>
      <c r="U9" s="92">
        <v>441.8</v>
      </c>
      <c r="V9" s="86">
        <v>1016</v>
      </c>
      <c r="W9" s="86">
        <v>467.6</v>
      </c>
      <c r="X9" s="86"/>
      <c r="Y9" s="86"/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3217.2999999999997</v>
      </c>
      <c r="D11" s="91">
        <v>0.1</v>
      </c>
      <c r="E11" s="86"/>
      <c r="F11" s="86">
        <v>0.3</v>
      </c>
      <c r="G11" s="86">
        <v>1</v>
      </c>
      <c r="H11" s="86">
        <v>2295.6</v>
      </c>
      <c r="I11" s="86">
        <v>84.3</v>
      </c>
      <c r="J11" s="86">
        <v>40.3</v>
      </c>
      <c r="K11" s="86">
        <v>25.1</v>
      </c>
      <c r="L11" s="86">
        <v>24.6</v>
      </c>
      <c r="M11" s="86">
        <v>27.5</v>
      </c>
      <c r="N11" s="86">
        <v>60.2</v>
      </c>
      <c r="O11" s="86">
        <v>29.1</v>
      </c>
      <c r="P11" s="86">
        <v>31.4</v>
      </c>
      <c r="Q11" s="86">
        <v>33.7</v>
      </c>
      <c r="R11" s="92">
        <v>34.1</v>
      </c>
      <c r="S11" s="92">
        <v>157.9</v>
      </c>
      <c r="T11" s="86">
        <v>33.5</v>
      </c>
      <c r="U11" s="92">
        <v>93</v>
      </c>
      <c r="V11" s="86">
        <v>166.1</v>
      </c>
      <c r="W11" s="86">
        <v>79.5</v>
      </c>
      <c r="X11" s="86"/>
      <c r="Y11" s="86"/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">
      <c r="B12" s="27" t="s">
        <v>12</v>
      </c>
      <c r="C12" s="90">
        <f t="shared" si="0"/>
        <v>3423.1</v>
      </c>
      <c r="D12" s="91">
        <v>65</v>
      </c>
      <c r="E12" s="86">
        <v>112.8</v>
      </c>
      <c r="F12" s="86">
        <v>12.2</v>
      </c>
      <c r="G12" s="86">
        <v>29.5</v>
      </c>
      <c r="H12" s="86">
        <v>9</v>
      </c>
      <c r="I12" s="86">
        <v>27.1</v>
      </c>
      <c r="J12" s="86">
        <v>44.6</v>
      </c>
      <c r="K12" s="86">
        <v>93.6</v>
      </c>
      <c r="L12" s="86">
        <v>29.3</v>
      </c>
      <c r="M12" s="86">
        <v>84.3</v>
      </c>
      <c r="N12" s="86">
        <v>81.7</v>
      </c>
      <c r="O12" s="86">
        <v>31.9</v>
      </c>
      <c r="P12" s="86">
        <v>146.2</v>
      </c>
      <c r="Q12" s="86">
        <v>379.5</v>
      </c>
      <c r="R12" s="92">
        <v>67.7</v>
      </c>
      <c r="S12" s="92">
        <v>22.2</v>
      </c>
      <c r="T12" s="86">
        <v>111</v>
      </c>
      <c r="U12" s="92">
        <v>1660.3</v>
      </c>
      <c r="V12" s="86">
        <v>204.1</v>
      </c>
      <c r="W12" s="86">
        <v>211.1</v>
      </c>
      <c r="X12" s="86"/>
      <c r="Y12" s="86"/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">
      <c r="B13" s="27" t="s">
        <v>13</v>
      </c>
      <c r="C13" s="90">
        <f t="shared" si="0"/>
        <v>2728.9999999999995</v>
      </c>
      <c r="D13" s="91">
        <v>26.6</v>
      </c>
      <c r="E13" s="86">
        <v>42.2</v>
      </c>
      <c r="F13" s="86">
        <v>134.3</v>
      </c>
      <c r="G13" s="86">
        <v>8.1</v>
      </c>
      <c r="H13" s="86">
        <v>83.2</v>
      </c>
      <c r="I13" s="86">
        <v>42.7</v>
      </c>
      <c r="J13" s="86">
        <v>47.2</v>
      </c>
      <c r="K13" s="86">
        <v>81.1</v>
      </c>
      <c r="L13" s="86">
        <v>52.6</v>
      </c>
      <c r="M13" s="86">
        <v>38.5</v>
      </c>
      <c r="N13" s="86">
        <v>71.3</v>
      </c>
      <c r="O13" s="86">
        <v>34.2</v>
      </c>
      <c r="P13" s="86">
        <v>120</v>
      </c>
      <c r="Q13" s="86">
        <v>48.5</v>
      </c>
      <c r="R13" s="92">
        <v>189.5</v>
      </c>
      <c r="S13" s="92">
        <v>132.6</v>
      </c>
      <c r="T13" s="86">
        <v>457.6</v>
      </c>
      <c r="U13" s="86">
        <v>593.7</v>
      </c>
      <c r="V13" s="86">
        <v>284.2</v>
      </c>
      <c r="W13" s="86">
        <v>240.9</v>
      </c>
      <c r="X13" s="86"/>
      <c r="Y13" s="86"/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">
      <c r="B14" s="27" t="s">
        <v>14</v>
      </c>
      <c r="C14" s="90">
        <f t="shared" si="0"/>
        <v>2226</v>
      </c>
      <c r="D14" s="91">
        <v>61</v>
      </c>
      <c r="E14" s="86">
        <v>48.4</v>
      </c>
      <c r="F14" s="86">
        <v>115.5</v>
      </c>
      <c r="G14" s="86">
        <v>71.9</v>
      </c>
      <c r="H14" s="86">
        <v>98.3</v>
      </c>
      <c r="I14" s="86">
        <v>132</v>
      </c>
      <c r="J14" s="86">
        <v>130.3</v>
      </c>
      <c r="K14" s="86">
        <v>80.2</v>
      </c>
      <c r="L14" s="86">
        <v>102.1</v>
      </c>
      <c r="M14" s="86">
        <v>133.4</v>
      </c>
      <c r="N14" s="86">
        <v>335.1</v>
      </c>
      <c r="O14" s="86">
        <v>155.8</v>
      </c>
      <c r="P14" s="86">
        <v>187.8</v>
      </c>
      <c r="Q14" s="86">
        <v>143.8</v>
      </c>
      <c r="R14" s="92">
        <v>98.5</v>
      </c>
      <c r="S14" s="92">
        <v>135.8</v>
      </c>
      <c r="T14" s="86">
        <v>33.1</v>
      </c>
      <c r="U14" s="92">
        <v>66.7</v>
      </c>
      <c r="V14" s="86">
        <v>50</v>
      </c>
      <c r="W14" s="86">
        <v>46.3</v>
      </c>
      <c r="X14" s="86"/>
      <c r="Y14" s="86"/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205.00000000000003</v>
      </c>
      <c r="D15" s="91">
        <v>12.2</v>
      </c>
      <c r="E15" s="86">
        <v>10.4</v>
      </c>
      <c r="F15" s="86">
        <v>5.1</v>
      </c>
      <c r="G15" s="86">
        <v>11.9</v>
      </c>
      <c r="H15" s="86">
        <v>5.1</v>
      </c>
      <c r="I15" s="86">
        <v>15.6</v>
      </c>
      <c r="J15" s="86">
        <v>8</v>
      </c>
      <c r="K15" s="86">
        <v>7.5</v>
      </c>
      <c r="L15" s="86">
        <v>12.6</v>
      </c>
      <c r="M15" s="86">
        <v>6.9</v>
      </c>
      <c r="N15" s="86">
        <v>10.9</v>
      </c>
      <c r="O15" s="86">
        <v>12.6</v>
      </c>
      <c r="P15" s="86">
        <v>10.3</v>
      </c>
      <c r="Q15" s="86">
        <v>12.5</v>
      </c>
      <c r="R15" s="92">
        <v>4.7</v>
      </c>
      <c r="S15" s="92">
        <v>15.5</v>
      </c>
      <c r="T15" s="86">
        <v>6.1</v>
      </c>
      <c r="U15" s="92">
        <v>11.3</v>
      </c>
      <c r="V15" s="86">
        <v>15.9</v>
      </c>
      <c r="W15" s="86">
        <v>9.9</v>
      </c>
      <c r="X15" s="86"/>
      <c r="Y15" s="86"/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402.7300000000001</v>
      </c>
      <c r="D16" s="91">
        <v>41.8</v>
      </c>
      <c r="E16" s="86">
        <v>2</v>
      </c>
      <c r="F16" s="86">
        <v>2.6</v>
      </c>
      <c r="G16" s="86">
        <v>11</v>
      </c>
      <c r="H16" s="86">
        <v>6.5</v>
      </c>
      <c r="I16" s="86">
        <v>4.9</v>
      </c>
      <c r="J16" s="86">
        <v>7.4</v>
      </c>
      <c r="K16" s="86">
        <v>7.5</v>
      </c>
      <c r="L16" s="86">
        <v>22.4</v>
      </c>
      <c r="M16" s="86">
        <v>6.6</v>
      </c>
      <c r="N16" s="86">
        <v>87.23</v>
      </c>
      <c r="O16" s="86">
        <v>19.2</v>
      </c>
      <c r="P16" s="86">
        <v>9.9</v>
      </c>
      <c r="Q16" s="86">
        <v>21.5</v>
      </c>
      <c r="R16" s="92">
        <v>16.2</v>
      </c>
      <c r="S16" s="92">
        <v>34.6</v>
      </c>
      <c r="T16" s="86">
        <v>7.6</v>
      </c>
      <c r="U16" s="92">
        <v>23.7</v>
      </c>
      <c r="V16" s="86">
        <v>54</v>
      </c>
      <c r="W16" s="86">
        <v>16.1</v>
      </c>
      <c r="X16" s="92"/>
      <c r="Y16" s="86"/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26500.23</v>
      </c>
      <c r="D17" s="101">
        <f>SUM(D6:D8)</f>
        <v>2075.6</v>
      </c>
      <c r="E17" s="101">
        <f aca="true" t="shared" si="2" ref="E17:Y17">SUM(E6:E8)</f>
        <v>283.3999999999999</v>
      </c>
      <c r="F17" s="101">
        <f t="shared" si="2"/>
        <v>314.40000000000003</v>
      </c>
      <c r="G17" s="101">
        <f t="shared" si="2"/>
        <v>733.8</v>
      </c>
      <c r="H17" s="101">
        <f t="shared" si="2"/>
        <v>4062.9</v>
      </c>
      <c r="I17" s="101">
        <f t="shared" si="2"/>
        <v>2072.8999999999996</v>
      </c>
      <c r="J17" s="101">
        <f t="shared" si="2"/>
        <v>470</v>
      </c>
      <c r="K17" s="101">
        <f t="shared" si="2"/>
        <v>427.19999999999993</v>
      </c>
      <c r="L17" s="101">
        <f t="shared" si="2"/>
        <v>2355.1000000000004</v>
      </c>
      <c r="M17" s="101">
        <f>SUM(M6:M8)</f>
        <v>1252.4</v>
      </c>
      <c r="N17" s="101">
        <f t="shared" si="2"/>
        <v>1016.63</v>
      </c>
      <c r="O17" s="101">
        <f t="shared" si="2"/>
        <v>403.00000000000006</v>
      </c>
      <c r="P17" s="101">
        <f t="shared" si="2"/>
        <v>574.6</v>
      </c>
      <c r="Q17" s="101">
        <f t="shared" si="2"/>
        <v>845</v>
      </c>
      <c r="R17" s="101">
        <f t="shared" si="2"/>
        <v>1500.1000000000001</v>
      </c>
      <c r="S17" s="101">
        <f t="shared" si="2"/>
        <v>1343.1999999999998</v>
      </c>
      <c r="T17" s="101">
        <f>SUM(T6:T8)</f>
        <v>1017.8000000000001</v>
      </c>
      <c r="U17" s="101">
        <f t="shared" si="2"/>
        <v>2890.5</v>
      </c>
      <c r="V17" s="101">
        <f t="shared" si="2"/>
        <v>1790.3</v>
      </c>
      <c r="W17" s="101">
        <f t="shared" si="2"/>
        <v>1071.4</v>
      </c>
      <c r="X17" s="101">
        <f t="shared" si="2"/>
        <v>0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">
      <c r="B18" s="102" t="s">
        <v>18</v>
      </c>
      <c r="C18" s="103">
        <f>C19+C23+C29+C32+C33+C34+C35+C41+C45+C49+C52+C57+C63+C70+C75+C76+C80+C31+C66+C74+C72+C73+C77+C78+C79</f>
        <v>31397.324</v>
      </c>
      <c r="D18" s="103">
        <f aca="true" t="shared" si="3" ref="D18:AA18">D19+D23+D29+D32+D33+D34+D35+D41+D45+D49+D52+D57+D63+D70+D75+D76+D80+D31+D66+D74+D72+D73+D77+D78+D79</f>
        <v>0</v>
      </c>
      <c r="E18" s="103">
        <f t="shared" si="3"/>
        <v>73.521</v>
      </c>
      <c r="F18" s="103">
        <f t="shared" si="3"/>
        <v>289.265</v>
      </c>
      <c r="G18" s="103">
        <f t="shared" si="3"/>
        <v>935.393</v>
      </c>
      <c r="H18" s="103">
        <f t="shared" si="3"/>
        <v>1125.5839999999998</v>
      </c>
      <c r="I18" s="103">
        <f t="shared" si="3"/>
        <v>383.358</v>
      </c>
      <c r="J18" s="103">
        <f t="shared" si="3"/>
        <v>1823.7400000000002</v>
      </c>
      <c r="K18" s="103">
        <f t="shared" si="3"/>
        <v>3074.685</v>
      </c>
      <c r="L18" s="103">
        <f t="shared" si="3"/>
        <v>1686.675</v>
      </c>
      <c r="M18" s="103">
        <f t="shared" si="3"/>
        <v>688.0709999999999</v>
      </c>
      <c r="N18" s="103">
        <f t="shared" si="3"/>
        <v>578.6790000000001</v>
      </c>
      <c r="O18" s="103">
        <f t="shared" si="3"/>
        <v>474.37199999999996</v>
      </c>
      <c r="P18" s="103">
        <f t="shared" si="3"/>
        <v>725.841</v>
      </c>
      <c r="Q18" s="103">
        <f t="shared" si="3"/>
        <v>859.31</v>
      </c>
      <c r="R18" s="103">
        <f t="shared" si="3"/>
        <v>392.6600000000001</v>
      </c>
      <c r="S18" s="103">
        <f t="shared" si="3"/>
        <v>959.634</v>
      </c>
      <c r="T18" s="103">
        <f t="shared" si="3"/>
        <v>6600.660000000002</v>
      </c>
      <c r="U18" s="103">
        <f t="shared" si="3"/>
        <v>2794.0899999999997</v>
      </c>
      <c r="V18" s="103">
        <f t="shared" si="3"/>
        <v>-12.836</v>
      </c>
      <c r="W18" s="103">
        <f t="shared" si="3"/>
        <v>0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23452.701999999997</v>
      </c>
      <c r="AB18" s="104">
        <f aca="true" t="shared" si="4" ref="AB18:AB84">AA18-C18</f>
        <v>-7944.622000000003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">
      <c r="A19" s="66">
        <v>10116</v>
      </c>
      <c r="B19" s="105" t="s">
        <v>19</v>
      </c>
      <c r="C19" s="106">
        <f aca="true" t="shared" si="5" ref="C19:AA19">SUM(C20:C22)</f>
        <v>4024.4749999999995</v>
      </c>
      <c r="D19" s="106">
        <f t="shared" si="5"/>
        <v>0</v>
      </c>
      <c r="E19" s="106">
        <f t="shared" si="5"/>
        <v>4.54</v>
      </c>
      <c r="F19" s="106">
        <f t="shared" si="5"/>
        <v>76.56899999999999</v>
      </c>
      <c r="G19" s="106">
        <f t="shared" si="5"/>
        <v>9.909</v>
      </c>
      <c r="H19" s="106">
        <f t="shared" si="5"/>
        <v>7.647</v>
      </c>
      <c r="I19" s="106">
        <f t="shared" si="5"/>
        <v>127.46000000000001</v>
      </c>
      <c r="J19" s="106">
        <f t="shared" si="5"/>
        <v>26.544999999999998</v>
      </c>
      <c r="K19" s="106">
        <f t="shared" si="5"/>
        <v>758.214</v>
      </c>
      <c r="L19" s="106">
        <f t="shared" si="5"/>
        <v>509.25199999999995</v>
      </c>
      <c r="M19" s="106">
        <f t="shared" si="5"/>
        <v>20.133</v>
      </c>
      <c r="N19" s="106">
        <f t="shared" si="5"/>
        <v>0</v>
      </c>
      <c r="O19" s="106">
        <f t="shared" si="5"/>
        <v>39.689</v>
      </c>
      <c r="P19" s="106">
        <f t="shared" si="5"/>
        <v>17.954</v>
      </c>
      <c r="Q19" s="106">
        <f t="shared" si="5"/>
        <v>29.256999999999998</v>
      </c>
      <c r="R19" s="106">
        <f t="shared" si="5"/>
        <v>13.091000000000001</v>
      </c>
      <c r="S19" s="106">
        <f t="shared" si="5"/>
        <v>0</v>
      </c>
      <c r="T19" s="106">
        <f>SUM(T20:T22)</f>
        <v>318.41600000000005</v>
      </c>
      <c r="U19" s="106">
        <f t="shared" si="5"/>
        <v>1216.2959999999998</v>
      </c>
      <c r="V19" s="106">
        <f t="shared" si="5"/>
        <v>-1.589</v>
      </c>
      <c r="W19" s="106">
        <f t="shared" si="5"/>
        <v>0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3173.383</v>
      </c>
      <c r="AB19" s="104">
        <f t="shared" si="4"/>
        <v>-851.0919999999996</v>
      </c>
      <c r="AD19" s="73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2:33" ht="15">
      <c r="B20" s="107" t="s">
        <v>20</v>
      </c>
      <c r="C20" s="108">
        <v>2985.997</v>
      </c>
      <c r="D20" s="81"/>
      <c r="E20" s="81"/>
      <c r="F20" s="81">
        <v>33.915</v>
      </c>
      <c r="G20" s="81"/>
      <c r="H20" s="81"/>
      <c r="I20" s="81"/>
      <c r="J20" s="86">
        <v>24.654</v>
      </c>
      <c r="K20" s="81">
        <v>741.2</v>
      </c>
      <c r="L20" s="81">
        <v>491.4</v>
      </c>
      <c r="M20" s="81"/>
      <c r="N20" s="81"/>
      <c r="O20" s="81"/>
      <c r="P20" s="81"/>
      <c r="Q20" s="81"/>
      <c r="R20" s="81"/>
      <c r="S20" s="81"/>
      <c r="T20" s="81">
        <v>284.634</v>
      </c>
      <c r="U20" s="81">
        <v>1053.999</v>
      </c>
      <c r="V20" s="86"/>
      <c r="W20" s="86"/>
      <c r="X20" s="86"/>
      <c r="Y20" s="81"/>
      <c r="Z20" s="81"/>
      <c r="AA20" s="81">
        <f>SUM(D20:Z20)</f>
        <v>2629.8019999999997</v>
      </c>
      <c r="AB20" s="104">
        <f t="shared" si="4"/>
        <v>-356.19500000000016</v>
      </c>
      <c r="AC20" s="71"/>
      <c r="AD20" s="67" t="s">
        <v>21</v>
      </c>
      <c r="AE20" s="109">
        <f>AA19</f>
        <v>3173.383</v>
      </c>
      <c r="AG20" s="72"/>
    </row>
    <row r="21" spans="2:33" ht="15">
      <c r="B21" s="107" t="s">
        <v>22</v>
      </c>
      <c r="C21" s="108">
        <v>404.086</v>
      </c>
      <c r="D21" s="81"/>
      <c r="E21" s="81"/>
      <c r="F21" s="81">
        <v>23.715</v>
      </c>
      <c r="G21" s="81"/>
      <c r="H21" s="81">
        <v>3.642</v>
      </c>
      <c r="I21" s="81">
        <v>36.364</v>
      </c>
      <c r="J21" s="86">
        <v>1.598</v>
      </c>
      <c r="K21" s="81"/>
      <c r="L21" s="81"/>
      <c r="M21" s="81">
        <v>18.238</v>
      </c>
      <c r="N21" s="81"/>
      <c r="O21" s="81"/>
      <c r="P21" s="81">
        <v>4.105</v>
      </c>
      <c r="Q21" s="81">
        <v>18.868</v>
      </c>
      <c r="R21" s="81">
        <v>2.656</v>
      </c>
      <c r="S21" s="81"/>
      <c r="T21" s="81">
        <v>11.997</v>
      </c>
      <c r="U21" s="81">
        <v>1.186</v>
      </c>
      <c r="V21" s="86"/>
      <c r="W21" s="86"/>
      <c r="X21" s="86"/>
      <c r="Y21" s="81"/>
      <c r="Z21" s="81"/>
      <c r="AA21" s="81">
        <f>SUM(D21:Z21)</f>
        <v>122.369</v>
      </c>
      <c r="AB21" s="104">
        <f t="shared" si="4"/>
        <v>-281.717</v>
      </c>
      <c r="AC21" s="71"/>
      <c r="AD21" s="67" t="s">
        <v>23</v>
      </c>
      <c r="AE21" s="109">
        <f>AA23</f>
        <v>10661.850999999999</v>
      </c>
      <c r="AG21" s="72"/>
    </row>
    <row r="22" spans="2:33" ht="15">
      <c r="B22" s="107" t="s">
        <v>24</v>
      </c>
      <c r="C22" s="108">
        <f>537.363+20+20-40+84+13.029</f>
        <v>634.392</v>
      </c>
      <c r="D22" s="81"/>
      <c r="E22" s="81">
        <v>4.54</v>
      </c>
      <c r="F22" s="81">
        <v>18.939</v>
      </c>
      <c r="G22" s="81">
        <v>9.909</v>
      </c>
      <c r="H22" s="81">
        <f>3.305+0.7</f>
        <v>4.005</v>
      </c>
      <c r="I22" s="81">
        <v>91.096</v>
      </c>
      <c r="J22" s="81">
        <v>0.293</v>
      </c>
      <c r="K22" s="81">
        <v>17.014</v>
      </c>
      <c r="L22" s="81">
        <v>17.852</v>
      </c>
      <c r="M22" s="81">
        <v>1.895</v>
      </c>
      <c r="N22" s="81"/>
      <c r="O22" s="81">
        <v>39.689</v>
      </c>
      <c r="P22" s="81">
        <v>13.849</v>
      </c>
      <c r="Q22" s="81">
        <v>10.389</v>
      </c>
      <c r="R22" s="81">
        <v>10.435</v>
      </c>
      <c r="S22" s="81"/>
      <c r="T22" s="81">
        <v>21.785</v>
      </c>
      <c r="U22" s="81">
        <v>161.111</v>
      </c>
      <c r="V22" s="81">
        <v>-1.589</v>
      </c>
      <c r="W22" s="81"/>
      <c r="X22" s="81"/>
      <c r="Y22" s="81"/>
      <c r="Z22" s="81"/>
      <c r="AA22" s="81">
        <f>SUM(D22:Z22)</f>
        <v>421.21200000000005</v>
      </c>
      <c r="AB22" s="104">
        <f t="shared" si="4"/>
        <v>-213.18</v>
      </c>
      <c r="AC22" s="71"/>
      <c r="AD22" s="67" t="s">
        <v>25</v>
      </c>
      <c r="AE22" s="109">
        <f>$AA$29+$AA$31</f>
        <v>345.916</v>
      </c>
      <c r="AG22" s="72"/>
    </row>
    <row r="23" spans="1:40" s="66" customFormat="1" ht="15">
      <c r="A23" s="66">
        <v>7000</v>
      </c>
      <c r="B23" s="105" t="s">
        <v>26</v>
      </c>
      <c r="C23" s="106">
        <f aca="true" t="shared" si="6" ref="C23:AA23">SUM(C24:C28)</f>
        <v>15373.094000000001</v>
      </c>
      <c r="D23" s="106">
        <f t="shared" si="6"/>
        <v>0</v>
      </c>
      <c r="E23" s="106">
        <f t="shared" si="6"/>
        <v>19.088</v>
      </c>
      <c r="F23" s="106">
        <f t="shared" si="6"/>
        <v>0</v>
      </c>
      <c r="G23" s="106">
        <f t="shared" si="6"/>
        <v>193.97000000000003</v>
      </c>
      <c r="H23" s="106">
        <f t="shared" si="6"/>
        <v>232.826</v>
      </c>
      <c r="I23" s="106">
        <f t="shared" si="6"/>
        <v>0</v>
      </c>
      <c r="J23" s="106">
        <f t="shared" si="6"/>
        <v>1686.1580000000001</v>
      </c>
      <c r="K23" s="106">
        <f t="shared" si="6"/>
        <v>2200.066</v>
      </c>
      <c r="L23" s="106">
        <f t="shared" si="6"/>
        <v>297.789</v>
      </c>
      <c r="M23" s="106">
        <f t="shared" si="6"/>
        <v>19.360999999999997</v>
      </c>
      <c r="N23" s="106">
        <f t="shared" si="6"/>
        <v>91.47200000000001</v>
      </c>
      <c r="O23" s="106">
        <f t="shared" si="6"/>
        <v>0</v>
      </c>
      <c r="P23" s="106">
        <f t="shared" si="6"/>
        <v>371.791</v>
      </c>
      <c r="Q23" s="106">
        <f t="shared" si="6"/>
        <v>102.52900000000001</v>
      </c>
      <c r="R23" s="106">
        <f t="shared" si="6"/>
        <v>40.142</v>
      </c>
      <c r="S23" s="106">
        <f t="shared" si="6"/>
        <v>0</v>
      </c>
      <c r="T23" s="106">
        <f>SUM(T24:T28)</f>
        <v>5207.509999999999</v>
      </c>
      <c r="U23" s="106">
        <f>SUM(U24:U28)</f>
        <v>199.149</v>
      </c>
      <c r="V23" s="106">
        <f t="shared" si="6"/>
        <v>0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10661.850999999999</v>
      </c>
      <c r="AB23" s="104">
        <f t="shared" si="4"/>
        <v>-4711.243000000002</v>
      </c>
      <c r="AC23" s="65"/>
      <c r="AD23" s="67" t="s">
        <v>27</v>
      </c>
      <c r="AE23" s="109">
        <f>$AA$32+$AA$33+$AA$35+$AA$41+$AA$45+$AA$34</f>
        <v>1302.183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">
      <c r="B24" s="107" t="s">
        <v>20</v>
      </c>
      <c r="C24" s="108">
        <v>11153.646</v>
      </c>
      <c r="D24" s="81"/>
      <c r="E24" s="81"/>
      <c r="F24" s="81"/>
      <c r="G24" s="81"/>
      <c r="H24" s="81"/>
      <c r="I24" s="81"/>
      <c r="J24" s="86">
        <f>450.862+803.221</f>
        <v>1254.083</v>
      </c>
      <c r="K24" s="81">
        <f>1162.33+728.948</f>
        <v>1891.2779999999998</v>
      </c>
      <c r="L24" s="81">
        <v>215.383</v>
      </c>
      <c r="M24" s="81">
        <f>3.55+14.1</f>
        <v>17.65</v>
      </c>
      <c r="N24" s="81"/>
      <c r="O24" s="81"/>
      <c r="P24" s="81"/>
      <c r="Q24" s="81"/>
      <c r="R24" s="110"/>
      <c r="S24" s="81"/>
      <c r="T24" s="81">
        <f>2601.696+2073.066</f>
        <v>4674.762</v>
      </c>
      <c r="U24" s="81"/>
      <c r="V24" s="86"/>
      <c r="W24" s="86"/>
      <c r="X24" s="86"/>
      <c r="Y24" s="81"/>
      <c r="Z24" s="81"/>
      <c r="AA24" s="81">
        <f>SUM(D24:Z24)</f>
        <v>8053.155999999999</v>
      </c>
      <c r="AB24" s="104">
        <f t="shared" si="4"/>
        <v>-3100.4900000000016</v>
      </c>
      <c r="AC24" s="71"/>
      <c r="AD24" s="67" t="s">
        <v>28</v>
      </c>
      <c r="AE24" s="109">
        <f>$AA$63+$AA$66+AA73</f>
        <v>2103.893</v>
      </c>
      <c r="AG24" s="72"/>
    </row>
    <row r="25" spans="2:33" ht="15">
      <c r="B25" s="107" t="s">
        <v>29</v>
      </c>
      <c r="C25" s="108">
        <v>12.302</v>
      </c>
      <c r="D25" s="81"/>
      <c r="E25" s="81"/>
      <c r="F25" s="81"/>
      <c r="G25" s="81"/>
      <c r="H25" s="81">
        <v>0.23</v>
      </c>
      <c r="I25" s="81"/>
      <c r="J25" s="86"/>
      <c r="K25" s="81"/>
      <c r="L25" s="81"/>
      <c r="M25" s="81"/>
      <c r="N25" s="81">
        <v>0.999</v>
      </c>
      <c r="O25" s="81"/>
      <c r="P25" s="81">
        <v>0.854</v>
      </c>
      <c r="Q25" s="81">
        <v>1.499</v>
      </c>
      <c r="R25" s="110"/>
      <c r="S25" s="81"/>
      <c r="T25" s="81"/>
      <c r="U25" s="81"/>
      <c r="V25" s="86"/>
      <c r="W25" s="86"/>
      <c r="X25" s="86"/>
      <c r="Y25" s="81"/>
      <c r="Z25" s="81"/>
      <c r="AA25" s="81">
        <f>SUM(D25:Z25)</f>
        <v>3.5820000000000003</v>
      </c>
      <c r="AB25" s="104">
        <f t="shared" si="4"/>
        <v>-8.719999999999999</v>
      </c>
      <c r="AC25" s="71"/>
      <c r="AD25" s="67" t="s">
        <v>30</v>
      </c>
      <c r="AE25" s="109">
        <f>$AA$52</f>
        <v>686.818</v>
      </c>
      <c r="AG25" s="72"/>
    </row>
    <row r="26" spans="2:33" ht="15">
      <c r="B26" s="107" t="s">
        <v>31</v>
      </c>
      <c r="C26" s="108">
        <v>801.302</v>
      </c>
      <c r="D26" s="81"/>
      <c r="E26" s="81"/>
      <c r="F26" s="81"/>
      <c r="G26" s="81">
        <v>30.869</v>
      </c>
      <c r="H26" s="81">
        <v>63.172</v>
      </c>
      <c r="I26" s="81"/>
      <c r="J26" s="86">
        <v>45.738</v>
      </c>
      <c r="K26" s="81">
        <v>85.613</v>
      </c>
      <c r="L26" s="81">
        <v>73.709</v>
      </c>
      <c r="M26" s="81"/>
      <c r="N26" s="81">
        <v>49.159</v>
      </c>
      <c r="O26" s="81"/>
      <c r="P26" s="81">
        <v>21.526</v>
      </c>
      <c r="Q26" s="81">
        <v>30.032</v>
      </c>
      <c r="R26" s="110">
        <v>8.794</v>
      </c>
      <c r="S26" s="81"/>
      <c r="T26" s="81">
        <v>150.326</v>
      </c>
      <c r="U26" s="81"/>
      <c r="V26" s="86"/>
      <c r="W26" s="86"/>
      <c r="X26" s="86"/>
      <c r="Y26" s="81"/>
      <c r="Z26" s="81"/>
      <c r="AA26" s="81">
        <f>SUM(D26:Z26)</f>
        <v>558.938</v>
      </c>
      <c r="AB26" s="104">
        <f t="shared" si="4"/>
        <v>-242.36400000000003</v>
      </c>
      <c r="AC26" s="71"/>
      <c r="AD26" s="67" t="s">
        <v>32</v>
      </c>
      <c r="AE26" s="109">
        <f>$AA$57</f>
        <v>451.067</v>
      </c>
      <c r="AG26" s="72"/>
    </row>
    <row r="27" spans="2:33" ht="15">
      <c r="B27" s="107" t="s">
        <v>22</v>
      </c>
      <c r="C27" s="108">
        <v>2208.018</v>
      </c>
      <c r="D27" s="81"/>
      <c r="E27" s="81"/>
      <c r="F27" s="81"/>
      <c r="G27" s="81">
        <v>118.926</v>
      </c>
      <c r="H27" s="81">
        <v>150.316</v>
      </c>
      <c r="I27" s="81"/>
      <c r="J27" s="86">
        <v>354.235</v>
      </c>
      <c r="K27" s="81">
        <v>215</v>
      </c>
      <c r="L27" s="81"/>
      <c r="M27" s="81"/>
      <c r="N27" s="81">
        <v>1.914</v>
      </c>
      <c r="O27" s="81"/>
      <c r="P27" s="81">
        <v>344.71</v>
      </c>
      <c r="Q27" s="81">
        <v>60.774</v>
      </c>
      <c r="R27" s="110">
        <v>25.023</v>
      </c>
      <c r="S27" s="81"/>
      <c r="T27" s="81">
        <v>252.355</v>
      </c>
      <c r="U27" s="81">
        <v>0.086</v>
      </c>
      <c r="V27" s="86"/>
      <c r="W27" s="86"/>
      <c r="X27" s="86"/>
      <c r="Y27" s="81"/>
      <c r="Z27" s="81"/>
      <c r="AA27" s="81">
        <f>SUM(D27:Z27)</f>
        <v>1523.339</v>
      </c>
      <c r="AB27" s="104">
        <f t="shared" si="4"/>
        <v>-684.6790000000001</v>
      </c>
      <c r="AC27" s="71"/>
      <c r="AD27" s="67" t="s">
        <v>33</v>
      </c>
      <c r="AE27" s="109">
        <f>$AA$49+$AA$70+$AA$75+$AA$76+$AA$80+$AA$72+$AA$74+$AA$77+$AA$78+$AA$79</f>
        <v>4727.591</v>
      </c>
      <c r="AG27" s="72"/>
    </row>
    <row r="28" spans="2:33" ht="15">
      <c r="B28" s="107" t="s">
        <v>24</v>
      </c>
      <c r="C28" s="108">
        <f>1176.826+4+17</f>
        <v>1197.826</v>
      </c>
      <c r="D28" s="81"/>
      <c r="E28" s="81">
        <v>19.088</v>
      </c>
      <c r="F28" s="81"/>
      <c r="G28" s="81">
        <v>44.175</v>
      </c>
      <c r="H28" s="81">
        <v>19.108</v>
      </c>
      <c r="I28" s="81"/>
      <c r="J28" s="81">
        <v>32.102</v>
      </c>
      <c r="K28" s="81">
        <v>8.175</v>
      </c>
      <c r="L28" s="81">
        <v>8.697</v>
      </c>
      <c r="M28" s="81">
        <v>1.711</v>
      </c>
      <c r="N28" s="81">
        <v>39.4</v>
      </c>
      <c r="O28" s="81"/>
      <c r="P28" s="81">
        <v>4.701</v>
      </c>
      <c r="Q28" s="81">
        <v>10.224</v>
      </c>
      <c r="R28" s="81">
        <v>6.325</v>
      </c>
      <c r="S28" s="81"/>
      <c r="T28" s="81">
        <v>130.067</v>
      </c>
      <c r="U28" s="81">
        <v>199.063</v>
      </c>
      <c r="V28" s="81"/>
      <c r="W28" s="81"/>
      <c r="X28" s="81"/>
      <c r="Y28" s="81"/>
      <c r="Z28" s="81"/>
      <c r="AA28" s="81">
        <f>SUM(D28:Z28)</f>
        <v>522.836</v>
      </c>
      <c r="AB28" s="104">
        <f t="shared" si="4"/>
        <v>-674.99</v>
      </c>
      <c r="AC28" s="71"/>
      <c r="AE28" s="111"/>
      <c r="AG28" s="72"/>
    </row>
    <row r="29" spans="2:33" ht="27.75">
      <c r="B29" s="105" t="s">
        <v>34</v>
      </c>
      <c r="C29" s="106">
        <f>C30</f>
        <v>1231.108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0</v>
      </c>
      <c r="G29" s="106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25.254</v>
      </c>
      <c r="K29" s="106">
        <f t="shared" si="7"/>
        <v>0</v>
      </c>
      <c r="L29" s="106">
        <f t="shared" si="7"/>
        <v>0</v>
      </c>
      <c r="M29" s="106">
        <f t="shared" si="7"/>
        <v>31.253</v>
      </c>
      <c r="N29" s="106">
        <f t="shared" si="7"/>
        <v>0</v>
      </c>
      <c r="O29" s="106">
        <f t="shared" si="7"/>
        <v>0</v>
      </c>
      <c r="P29" s="106">
        <f t="shared" si="7"/>
        <v>98.274</v>
      </c>
      <c r="Q29" s="106">
        <f t="shared" si="7"/>
        <v>0</v>
      </c>
      <c r="R29" s="106">
        <f t="shared" si="7"/>
        <v>0</v>
      </c>
      <c r="S29" s="106">
        <f t="shared" si="7"/>
        <v>100.661</v>
      </c>
      <c r="T29" s="106">
        <f t="shared" si="7"/>
        <v>86.779</v>
      </c>
      <c r="U29" s="106">
        <f t="shared" si="7"/>
        <v>3.695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345.916</v>
      </c>
      <c r="AB29" s="104">
        <f t="shared" si="4"/>
        <v>-885.192</v>
      </c>
      <c r="AC29" s="71"/>
      <c r="AE29" s="111"/>
      <c r="AG29" s="72"/>
    </row>
    <row r="30" spans="2:31" ht="15">
      <c r="B30" s="112" t="s">
        <v>35</v>
      </c>
      <c r="C30" s="113">
        <f>1062.108+100+69</f>
        <v>1231.108</v>
      </c>
      <c r="D30" s="86"/>
      <c r="E30" s="86"/>
      <c r="F30" s="86"/>
      <c r="G30" s="86"/>
      <c r="H30" s="86"/>
      <c r="I30" s="86"/>
      <c r="J30" s="86">
        <v>25.254</v>
      </c>
      <c r="K30" s="86"/>
      <c r="L30" s="86"/>
      <c r="M30" s="86">
        <v>31.253</v>
      </c>
      <c r="N30" s="86"/>
      <c r="O30" s="86"/>
      <c r="P30" s="86">
        <v>98.274</v>
      </c>
      <c r="Q30" s="86"/>
      <c r="R30" s="86"/>
      <c r="S30" s="86">
        <v>100.661</v>
      </c>
      <c r="T30" s="86">
        <v>86.779</v>
      </c>
      <c r="U30" s="86">
        <v>3.695</v>
      </c>
      <c r="V30" s="86"/>
      <c r="W30" s="86"/>
      <c r="X30" s="86"/>
      <c r="Y30" s="113"/>
      <c r="Z30" s="113"/>
      <c r="AA30" s="81">
        <f>SUM(D30:Z30)</f>
        <v>345.916</v>
      </c>
      <c r="AB30" s="104">
        <f t="shared" si="4"/>
        <v>-885.192</v>
      </c>
      <c r="AE30" s="111"/>
    </row>
    <row r="31" spans="2:31" ht="42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0</v>
      </c>
      <c r="AE31" s="111"/>
    </row>
    <row r="32" spans="1:40" s="66" customFormat="1" ht="27.75">
      <c r="A32" s="66" t="s">
        <v>37</v>
      </c>
      <c r="B32" s="105" t="s">
        <v>38</v>
      </c>
      <c r="C32" s="106">
        <f>499.286+100.9+13.345</f>
        <v>613.5310000000001</v>
      </c>
      <c r="D32" s="106"/>
      <c r="E32" s="106"/>
      <c r="F32" s="106"/>
      <c r="G32" s="106">
        <v>9.973</v>
      </c>
      <c r="H32" s="106"/>
      <c r="I32" s="106"/>
      <c r="J32" s="106">
        <v>7.263</v>
      </c>
      <c r="K32" s="106"/>
      <c r="L32" s="106"/>
      <c r="M32" s="106">
        <v>8.958</v>
      </c>
      <c r="N32" s="106"/>
      <c r="O32" s="106"/>
      <c r="P32" s="106">
        <v>-1</v>
      </c>
      <c r="Q32" s="106">
        <v>146.7</v>
      </c>
      <c r="R32" s="106">
        <v>164.699</v>
      </c>
      <c r="S32" s="106"/>
      <c r="T32" s="106">
        <v>2.019</v>
      </c>
      <c r="U32" s="114"/>
      <c r="V32" s="114"/>
      <c r="W32" s="114"/>
      <c r="X32" s="106"/>
      <c r="Y32" s="106"/>
      <c r="Z32" s="106"/>
      <c r="AA32" s="106">
        <f>SUM(D32:Z32)</f>
        <v>338.612</v>
      </c>
      <c r="AB32" s="104">
        <f t="shared" si="4"/>
        <v>-274.91900000000004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2">
      <c r="B33" s="105" t="s">
        <v>39</v>
      </c>
      <c r="C33" s="106">
        <v>424.503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14"/>
      <c r="U33" s="106">
        <v>111.985</v>
      </c>
      <c r="V33" s="106"/>
      <c r="W33" s="106"/>
      <c r="X33" s="106"/>
      <c r="Y33" s="106"/>
      <c r="Z33" s="106"/>
      <c r="AA33" s="106">
        <f>SUM(D33:Z33)</f>
        <v>111.985</v>
      </c>
      <c r="AB33" s="104">
        <f t="shared" si="4"/>
        <v>-312.518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42">
      <c r="B34" s="105" t="s">
        <v>41</v>
      </c>
      <c r="C34" s="106">
        <v>85</v>
      </c>
      <c r="D34" s="106"/>
      <c r="E34" s="106"/>
      <c r="F34" s="106"/>
      <c r="G34" s="106"/>
      <c r="H34" s="106">
        <v>56.648</v>
      </c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56.648</v>
      </c>
      <c r="AB34" s="104">
        <f t="shared" si="4"/>
        <v>-28.351999999999997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">
      <c r="B35" s="105" t="s">
        <v>42</v>
      </c>
      <c r="C35" s="106">
        <f>SUM(C36:C40)</f>
        <v>600.3190000000001</v>
      </c>
      <c r="D35" s="106">
        <f>SUM(D36:D40)</f>
        <v>0</v>
      </c>
      <c r="E35" s="106">
        <f>SUM(E36:E40)</f>
        <v>0</v>
      </c>
      <c r="F35" s="106">
        <f>SUM(F36:F40)</f>
        <v>0</v>
      </c>
      <c r="G35" s="106">
        <f aca="true" t="shared" si="8" ref="G35:S35">SUM(G36:G40)</f>
        <v>32.014</v>
      </c>
      <c r="H35" s="106">
        <f t="shared" si="8"/>
        <v>0</v>
      </c>
      <c r="I35" s="106">
        <f t="shared" si="8"/>
        <v>0</v>
      </c>
      <c r="J35" s="106">
        <f t="shared" si="8"/>
        <v>2.823</v>
      </c>
      <c r="K35" s="106">
        <f t="shared" si="8"/>
        <v>0</v>
      </c>
      <c r="L35" s="106">
        <f t="shared" si="8"/>
        <v>186.609</v>
      </c>
      <c r="M35" s="106">
        <f t="shared" si="8"/>
        <v>0</v>
      </c>
      <c r="N35" s="106">
        <f t="shared" si="8"/>
        <v>0</v>
      </c>
      <c r="O35" s="106">
        <f t="shared" si="8"/>
        <v>0</v>
      </c>
      <c r="P35" s="106">
        <f t="shared" si="8"/>
        <v>9.623</v>
      </c>
      <c r="Q35" s="106">
        <f t="shared" si="8"/>
        <v>0</v>
      </c>
      <c r="R35" s="106">
        <f t="shared" si="8"/>
        <v>0</v>
      </c>
      <c r="S35" s="106">
        <f t="shared" si="8"/>
        <v>0</v>
      </c>
      <c r="T35" s="106">
        <f>SUM(T36:T40)</f>
        <v>0</v>
      </c>
      <c r="U35" s="106">
        <f>SUM(U36:U40)</f>
        <v>313.93</v>
      </c>
      <c r="V35" s="106">
        <f aca="true" t="shared" si="9" ref="V35:AA35">SUM(V36:V40)</f>
        <v>0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544.999</v>
      </c>
      <c r="AB35" s="104">
        <f t="shared" si="4"/>
        <v>-55.32000000000005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">
      <c r="B36" s="107" t="s">
        <v>20</v>
      </c>
      <c r="C36" s="108">
        <v>522.851</v>
      </c>
      <c r="D36" s="81"/>
      <c r="E36" s="81"/>
      <c r="F36" s="81"/>
      <c r="G36" s="81"/>
      <c r="H36" s="81"/>
      <c r="I36" s="81"/>
      <c r="J36" s="86"/>
      <c r="K36" s="81"/>
      <c r="L36" s="81">
        <v>186.609</v>
      </c>
      <c r="M36" s="81"/>
      <c r="N36" s="81"/>
      <c r="O36" s="81"/>
      <c r="P36" s="110"/>
      <c r="Q36" s="81"/>
      <c r="R36" s="110"/>
      <c r="S36" s="81"/>
      <c r="T36" s="81"/>
      <c r="U36" s="81">
        <v>310.665</v>
      </c>
      <c r="V36" s="86"/>
      <c r="W36" s="86"/>
      <c r="X36" s="81"/>
      <c r="Y36" s="81"/>
      <c r="Z36" s="81"/>
      <c r="AA36" s="81">
        <f>SUM(D36:Z36)</f>
        <v>497.274</v>
      </c>
      <c r="AB36" s="104">
        <f t="shared" si="4"/>
        <v>-25.576999999999998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">
      <c r="B37" s="107" t="s">
        <v>29</v>
      </c>
      <c r="C37" s="108">
        <v>1.811</v>
      </c>
      <c r="D37" s="81"/>
      <c r="E37" s="81"/>
      <c r="F37" s="81"/>
      <c r="G37" s="81"/>
      <c r="H37" s="81"/>
      <c r="I37" s="81"/>
      <c r="J37" s="86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0</v>
      </c>
      <c r="AB37" s="104">
        <f t="shared" si="4"/>
        <v>-1.811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>
        <v>3.3</v>
      </c>
      <c r="Q38" s="81"/>
      <c r="R38" s="110"/>
      <c r="S38" s="81"/>
      <c r="T38" s="81"/>
      <c r="U38" s="81"/>
      <c r="V38" s="86"/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">
      <c r="B39" s="107" t="s">
        <v>22</v>
      </c>
      <c r="C39" s="108">
        <v>54.417</v>
      </c>
      <c r="D39" s="81"/>
      <c r="E39" s="81"/>
      <c r="F39" s="81"/>
      <c r="G39" s="81">
        <v>28.823</v>
      </c>
      <c r="H39" s="81"/>
      <c r="I39" s="81"/>
      <c r="J39" s="81"/>
      <c r="K39" s="81"/>
      <c r="L39" s="81"/>
      <c r="M39" s="81"/>
      <c r="N39" s="81"/>
      <c r="O39" s="81"/>
      <c r="P39" s="110">
        <v>4.153</v>
      </c>
      <c r="Q39" s="81"/>
      <c r="R39" s="110"/>
      <c r="S39" s="81"/>
      <c r="T39" s="81"/>
      <c r="U39" s="81">
        <v>3.265</v>
      </c>
      <c r="V39" s="86"/>
      <c r="W39" s="86"/>
      <c r="X39" s="81"/>
      <c r="Y39" s="81"/>
      <c r="Z39" s="81"/>
      <c r="AA39" s="81">
        <f>SUM(D39:Z39)</f>
        <v>36.241</v>
      </c>
      <c r="AB39" s="104">
        <f t="shared" si="4"/>
        <v>-18.176000000000002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">
      <c r="B40" s="107" t="s">
        <v>24</v>
      </c>
      <c r="C40" s="108">
        <f>8.64+9.3</f>
        <v>17.94</v>
      </c>
      <c r="D40" s="81"/>
      <c r="E40" s="81"/>
      <c r="F40" s="81"/>
      <c r="G40" s="81">
        <v>3.191</v>
      </c>
      <c r="H40" s="81"/>
      <c r="I40" s="81"/>
      <c r="J40" s="81">
        <v>2.823</v>
      </c>
      <c r="K40" s="81"/>
      <c r="L40" s="81"/>
      <c r="M40" s="81"/>
      <c r="N40" s="81"/>
      <c r="O40" s="81"/>
      <c r="P40" s="81">
        <v>2.17</v>
      </c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>
        <f>SUM(D40:Z40)</f>
        <v>8.184</v>
      </c>
      <c r="AB40" s="104">
        <f t="shared" si="4"/>
        <v>-9.756000000000002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">
      <c r="B41" s="105" t="s">
        <v>43</v>
      </c>
      <c r="C41" s="106">
        <f aca="true" t="shared" si="10" ref="C41:S41">SUM(C42:C44)</f>
        <v>300.59499999999997</v>
      </c>
      <c r="D41" s="106">
        <f t="shared" si="10"/>
        <v>0</v>
      </c>
      <c r="E41" s="106">
        <f t="shared" si="10"/>
        <v>0</v>
      </c>
      <c r="F41" s="106">
        <f t="shared" si="10"/>
        <v>0</v>
      </c>
      <c r="G41" s="106">
        <f t="shared" si="10"/>
        <v>0</v>
      </c>
      <c r="H41" s="106">
        <f t="shared" si="10"/>
        <v>0</v>
      </c>
      <c r="I41" s="106">
        <f t="shared" si="10"/>
        <v>0</v>
      </c>
      <c r="J41" s="106">
        <f t="shared" si="10"/>
        <v>0</v>
      </c>
      <c r="K41" s="106">
        <f t="shared" si="10"/>
        <v>72.85799999999999</v>
      </c>
      <c r="L41" s="106">
        <f t="shared" si="10"/>
        <v>0</v>
      </c>
      <c r="M41" s="106">
        <f t="shared" si="10"/>
        <v>0</v>
      </c>
      <c r="N41" s="106">
        <f t="shared" si="10"/>
        <v>0</v>
      </c>
      <c r="O41" s="106">
        <f t="shared" si="10"/>
        <v>1.066</v>
      </c>
      <c r="P41" s="106">
        <f t="shared" si="10"/>
        <v>0</v>
      </c>
      <c r="Q41" s="106">
        <f t="shared" si="10"/>
        <v>0</v>
      </c>
      <c r="R41" s="106">
        <f t="shared" si="10"/>
        <v>0</v>
      </c>
      <c r="S41" s="106">
        <f t="shared" si="10"/>
        <v>0</v>
      </c>
      <c r="T41" s="106">
        <f>SUM(T42:T44)</f>
        <v>98.871</v>
      </c>
      <c r="U41" s="106">
        <f>SUM(U42:U44)</f>
        <v>0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172.795</v>
      </c>
      <c r="AB41" s="104">
        <f t="shared" si="4"/>
        <v>-127.79999999999998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">
      <c r="B42" s="107" t="s">
        <v>20</v>
      </c>
      <c r="C42" s="108">
        <f>223.863+41.4</f>
        <v>265.263</v>
      </c>
      <c r="D42" s="81"/>
      <c r="E42" s="81"/>
      <c r="F42" s="81"/>
      <c r="G42" s="81"/>
      <c r="H42" s="81"/>
      <c r="I42" s="81"/>
      <c r="J42" s="86"/>
      <c r="K42" s="81">
        <f>8+50.885</f>
        <v>58.885</v>
      </c>
      <c r="L42" s="81"/>
      <c r="M42" s="81"/>
      <c r="N42" s="81"/>
      <c r="O42" s="81"/>
      <c r="P42" s="110"/>
      <c r="Q42" s="81"/>
      <c r="R42" s="110"/>
      <c r="S42" s="81"/>
      <c r="T42" s="81">
        <f>69.631+29.24</f>
        <v>98.871</v>
      </c>
      <c r="U42" s="81"/>
      <c r="V42" s="86"/>
      <c r="W42" s="86"/>
      <c r="X42" s="81"/>
      <c r="Y42" s="81"/>
      <c r="Z42" s="81"/>
      <c r="AA42" s="81">
        <f>SUM(D42:Z42)</f>
        <v>157.756</v>
      </c>
      <c r="AB42" s="104">
        <f t="shared" si="4"/>
        <v>-107.50699999999998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">
      <c r="B43" s="107" t="s">
        <v>22</v>
      </c>
      <c r="C43" s="108">
        <v>26.514</v>
      </c>
      <c r="D43" s="81"/>
      <c r="E43" s="81"/>
      <c r="F43" s="81"/>
      <c r="G43" s="81"/>
      <c r="H43" s="81"/>
      <c r="I43" s="81"/>
      <c r="J43" s="86"/>
      <c r="K43" s="81">
        <v>11.266</v>
      </c>
      <c r="L43" s="81"/>
      <c r="M43" s="81"/>
      <c r="N43" s="81"/>
      <c r="O43" s="81">
        <v>1.066</v>
      </c>
      <c r="P43" s="81"/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12.332</v>
      </c>
      <c r="AB43" s="104">
        <f t="shared" si="4"/>
        <v>-14.181999999999999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">
      <c r="B44" s="107" t="s">
        <v>24</v>
      </c>
      <c r="C44" s="108">
        <v>8.818</v>
      </c>
      <c r="D44" s="81"/>
      <c r="E44" s="81"/>
      <c r="F44" s="81"/>
      <c r="G44" s="81"/>
      <c r="H44" s="81"/>
      <c r="I44" s="81"/>
      <c r="J44" s="81"/>
      <c r="K44" s="81">
        <v>2.707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>
        <f>SUM(D44:Z44)</f>
        <v>2.707</v>
      </c>
      <c r="AB44" s="104">
        <f t="shared" si="4"/>
        <v>-6.111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">
      <c r="B45" s="105" t="s">
        <v>44</v>
      </c>
      <c r="C45" s="106">
        <f aca="true" t="shared" si="12" ref="C45:Y45">SUM(C46:C48)</f>
        <v>177.925</v>
      </c>
      <c r="D45" s="106">
        <f t="shared" si="12"/>
        <v>0</v>
      </c>
      <c r="E45" s="106">
        <f t="shared" si="12"/>
        <v>0</v>
      </c>
      <c r="F45" s="106">
        <f t="shared" si="12"/>
        <v>0</v>
      </c>
      <c r="G45" s="106">
        <f t="shared" si="12"/>
        <v>0</v>
      </c>
      <c r="H45" s="106">
        <f t="shared" si="12"/>
        <v>0</v>
      </c>
      <c r="I45" s="106">
        <f t="shared" si="12"/>
        <v>0</v>
      </c>
      <c r="J45" s="106">
        <f t="shared" si="12"/>
        <v>36.564</v>
      </c>
      <c r="K45" s="106">
        <f t="shared" si="12"/>
        <v>0</v>
      </c>
      <c r="L45" s="106">
        <f t="shared" si="12"/>
        <v>0</v>
      </c>
      <c r="M45" s="106">
        <f t="shared" si="12"/>
        <v>0</v>
      </c>
      <c r="N45" s="106">
        <f t="shared" si="12"/>
        <v>0</v>
      </c>
      <c r="O45" s="106">
        <f t="shared" si="12"/>
        <v>0</v>
      </c>
      <c r="P45" s="106">
        <f t="shared" si="12"/>
        <v>4.919</v>
      </c>
      <c r="Q45" s="106">
        <f t="shared" si="12"/>
        <v>0</v>
      </c>
      <c r="R45" s="106">
        <f t="shared" si="12"/>
        <v>0</v>
      </c>
      <c r="S45" s="106">
        <f t="shared" si="12"/>
        <v>0</v>
      </c>
      <c r="T45" s="106">
        <f>SUM(T46:T48)</f>
        <v>35.661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77.144</v>
      </c>
      <c r="AB45" s="104">
        <f t="shared" si="4"/>
        <v>-100.781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">
      <c r="B46" s="107" t="s">
        <v>20</v>
      </c>
      <c r="C46" s="108">
        <v>162.037</v>
      </c>
      <c r="D46" s="81"/>
      <c r="E46" s="81"/>
      <c r="F46" s="81"/>
      <c r="G46" s="81"/>
      <c r="H46" s="81"/>
      <c r="I46" s="81"/>
      <c r="J46" s="86">
        <v>33.189</v>
      </c>
      <c r="K46" s="81"/>
      <c r="L46" s="81"/>
      <c r="M46" s="81"/>
      <c r="N46" s="81"/>
      <c r="O46" s="81"/>
      <c r="P46" s="81"/>
      <c r="Q46" s="81"/>
      <c r="R46" s="110"/>
      <c r="S46" s="81"/>
      <c r="T46" s="81">
        <v>35.661</v>
      </c>
      <c r="U46" s="81"/>
      <c r="V46" s="86"/>
      <c r="W46" s="86"/>
      <c r="X46" s="86"/>
      <c r="Y46" s="86"/>
      <c r="Z46" s="86"/>
      <c r="AA46" s="81">
        <f>SUM(D46:Z46)</f>
        <v>68.85</v>
      </c>
      <c r="AB46" s="104">
        <f t="shared" si="4"/>
        <v>-93.18700000000001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">
      <c r="B47" s="107" t="s">
        <v>22</v>
      </c>
      <c r="C47" s="108">
        <v>8.028</v>
      </c>
      <c r="D47" s="81"/>
      <c r="E47" s="81"/>
      <c r="F47" s="81"/>
      <c r="G47" s="81"/>
      <c r="H47" s="81"/>
      <c r="I47" s="81"/>
      <c r="J47" s="86">
        <v>3.078</v>
      </c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3.078</v>
      </c>
      <c r="AB47" s="104">
        <f t="shared" si="4"/>
        <v>-4.950000000000001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">
      <c r="B48" s="107" t="s">
        <v>24</v>
      </c>
      <c r="C48" s="108">
        <v>7.86</v>
      </c>
      <c r="D48" s="81"/>
      <c r="E48" s="81"/>
      <c r="F48" s="81"/>
      <c r="G48" s="81"/>
      <c r="H48" s="81"/>
      <c r="I48" s="81"/>
      <c r="J48" s="81">
        <v>0.297</v>
      </c>
      <c r="K48" s="81"/>
      <c r="L48" s="81"/>
      <c r="M48" s="81"/>
      <c r="N48" s="81"/>
      <c r="O48" s="81"/>
      <c r="P48" s="81">
        <v>4.919</v>
      </c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5.215999999999999</v>
      </c>
      <c r="AB48" s="104">
        <f t="shared" si="4"/>
        <v>-2.644000000000001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">
      <c r="A49" s="66">
        <v>90501</v>
      </c>
      <c r="B49" s="105" t="s">
        <v>45</v>
      </c>
      <c r="C49" s="106">
        <f>C50+C51</f>
        <v>31.877</v>
      </c>
      <c r="D49" s="106">
        <f aca="true" t="shared" si="13" ref="D49:Y49">D50+D51</f>
        <v>0</v>
      </c>
      <c r="E49" s="106">
        <f t="shared" si="13"/>
        <v>5.028</v>
      </c>
      <c r="F49" s="106">
        <f t="shared" si="13"/>
        <v>0</v>
      </c>
      <c r="G49" s="106">
        <f t="shared" si="13"/>
        <v>0</v>
      </c>
      <c r="H49" s="106">
        <f t="shared" si="13"/>
        <v>0</v>
      </c>
      <c r="I49" s="106">
        <f t="shared" si="13"/>
        <v>0</v>
      </c>
      <c r="J49" s="106">
        <f t="shared" si="13"/>
        <v>0</v>
      </c>
      <c r="K49" s="106">
        <f t="shared" si="13"/>
        <v>0</v>
      </c>
      <c r="L49" s="106">
        <f t="shared" si="13"/>
        <v>0</v>
      </c>
      <c r="M49" s="106">
        <f t="shared" si="13"/>
        <v>0</v>
      </c>
      <c r="N49" s="106">
        <f t="shared" si="13"/>
        <v>1.4</v>
      </c>
      <c r="O49" s="106">
        <f t="shared" si="13"/>
        <v>0</v>
      </c>
      <c r="P49" s="106">
        <f t="shared" si="13"/>
        <v>0</v>
      </c>
      <c r="Q49" s="106">
        <f t="shared" si="13"/>
        <v>0</v>
      </c>
      <c r="R49" s="106">
        <f t="shared" si="13"/>
        <v>0</v>
      </c>
      <c r="S49" s="106">
        <f t="shared" si="13"/>
        <v>0</v>
      </c>
      <c r="T49" s="106">
        <f>T50+T51</f>
        <v>0</v>
      </c>
      <c r="U49" s="106">
        <f>U50+U51</f>
        <v>5.7780000000000005</v>
      </c>
      <c r="V49" s="106">
        <f t="shared" si="13"/>
        <v>0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12.206</v>
      </c>
      <c r="AB49" s="104">
        <f t="shared" si="4"/>
        <v>-19.671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">
      <c r="B50" s="107" t="s">
        <v>20</v>
      </c>
      <c r="C50" s="113">
        <v>11.677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>
        <v>1.4</v>
      </c>
      <c r="O50" s="86"/>
      <c r="P50" s="86"/>
      <c r="Q50" s="86"/>
      <c r="R50" s="86"/>
      <c r="S50" s="86"/>
      <c r="T50" s="86"/>
      <c r="U50" s="86">
        <v>3.837</v>
      </c>
      <c r="V50" s="86"/>
      <c r="W50" s="86"/>
      <c r="X50" s="86"/>
      <c r="Y50" s="86"/>
      <c r="Z50" s="86"/>
      <c r="AA50" s="81">
        <f>SUM(D50:Z50)</f>
        <v>5.237</v>
      </c>
      <c r="AB50" s="104">
        <f t="shared" si="4"/>
        <v>-6.4399999999999995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">
      <c r="B51" s="107" t="s">
        <v>35</v>
      </c>
      <c r="C51" s="113">
        <v>20.2</v>
      </c>
      <c r="D51" s="86"/>
      <c r="E51" s="86">
        <v>5.028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>
        <v>1.941</v>
      </c>
      <c r="V51" s="86"/>
      <c r="W51" s="86"/>
      <c r="X51" s="86"/>
      <c r="Y51" s="86"/>
      <c r="Z51" s="86"/>
      <c r="AA51" s="81">
        <f>SUM(D51:Z51)</f>
        <v>6.968999999999999</v>
      </c>
      <c r="AB51" s="104">
        <f t="shared" si="4"/>
        <v>-13.231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">
      <c r="A52" s="66">
        <v>110000</v>
      </c>
      <c r="B52" s="105" t="s">
        <v>46</v>
      </c>
      <c r="C52" s="106">
        <f aca="true" t="shared" si="14" ref="C52:AA52">SUM(C53:C56)</f>
        <v>1089.8780000000002</v>
      </c>
      <c r="D52" s="106">
        <f t="shared" si="14"/>
        <v>0</v>
      </c>
      <c r="E52" s="106">
        <f t="shared" si="14"/>
        <v>36.028</v>
      </c>
      <c r="F52" s="106">
        <f t="shared" si="14"/>
        <v>20.828</v>
      </c>
      <c r="G52" s="106">
        <f t="shared" si="14"/>
        <v>0</v>
      </c>
      <c r="H52" s="106">
        <f t="shared" si="14"/>
        <v>0</v>
      </c>
      <c r="I52" s="106">
        <f t="shared" si="14"/>
        <v>0</v>
      </c>
      <c r="J52" s="106">
        <f t="shared" si="14"/>
        <v>13.734</v>
      </c>
      <c r="K52" s="106">
        <f t="shared" si="14"/>
        <v>0</v>
      </c>
      <c r="L52" s="106">
        <f t="shared" si="14"/>
        <v>204.195</v>
      </c>
      <c r="M52" s="106">
        <f t="shared" si="14"/>
        <v>1</v>
      </c>
      <c r="N52" s="106">
        <f t="shared" si="14"/>
        <v>0</v>
      </c>
      <c r="O52" s="106">
        <f t="shared" si="14"/>
        <v>24.795</v>
      </c>
      <c r="P52" s="106">
        <f t="shared" si="14"/>
        <v>95.103</v>
      </c>
      <c r="Q52" s="106">
        <f t="shared" si="14"/>
        <v>17.673</v>
      </c>
      <c r="R52" s="106">
        <f t="shared" si="14"/>
        <v>0</v>
      </c>
      <c r="S52" s="106">
        <f t="shared" si="14"/>
        <v>136.972</v>
      </c>
      <c r="T52" s="106">
        <f>SUM(T53:T56)</f>
        <v>0.278</v>
      </c>
      <c r="U52" s="106">
        <f t="shared" si="14"/>
        <v>136.212</v>
      </c>
      <c r="V52" s="106">
        <f t="shared" si="14"/>
        <v>0</v>
      </c>
      <c r="W52" s="106">
        <f t="shared" si="14"/>
        <v>0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686.818</v>
      </c>
      <c r="AB52" s="104">
        <f t="shared" si="4"/>
        <v>-403.0600000000002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">
      <c r="B53" s="107" t="s">
        <v>20</v>
      </c>
      <c r="C53" s="108">
        <v>561.494</v>
      </c>
      <c r="D53" s="81"/>
      <c r="E53" s="81"/>
      <c r="F53" s="81">
        <v>20.828</v>
      </c>
      <c r="G53" s="81"/>
      <c r="H53" s="81"/>
      <c r="I53" s="81"/>
      <c r="J53" s="86">
        <v>11.748</v>
      </c>
      <c r="K53" s="81"/>
      <c r="L53" s="81">
        <v>138.775</v>
      </c>
      <c r="M53" s="81"/>
      <c r="N53" s="81"/>
      <c r="O53" s="81"/>
      <c r="P53" s="110"/>
      <c r="Q53" s="81"/>
      <c r="R53" s="110"/>
      <c r="S53" s="81">
        <v>136.972</v>
      </c>
      <c r="T53" s="81"/>
      <c r="U53" s="81">
        <v>135.012</v>
      </c>
      <c r="V53" s="86"/>
      <c r="W53" s="86"/>
      <c r="X53" s="86"/>
      <c r="Y53" s="81"/>
      <c r="Z53" s="81"/>
      <c r="AA53" s="81">
        <f>SUM(D53:Z53)</f>
        <v>443.335</v>
      </c>
      <c r="AB53" s="104">
        <f t="shared" si="4"/>
        <v>-118.15900000000005</v>
      </c>
    </row>
    <row r="54" spans="2:28" ht="15">
      <c r="B54" s="107" t="s">
        <v>22</v>
      </c>
      <c r="C54" s="108">
        <v>200.48</v>
      </c>
      <c r="D54" s="81"/>
      <c r="E54" s="81">
        <v>36.028</v>
      </c>
      <c r="F54" s="81"/>
      <c r="G54" s="81"/>
      <c r="H54" s="81"/>
      <c r="I54" s="81"/>
      <c r="J54" s="86">
        <v>1.34</v>
      </c>
      <c r="K54" s="81"/>
      <c r="L54" s="81">
        <v>63.48</v>
      </c>
      <c r="M54" s="81"/>
      <c r="N54" s="81"/>
      <c r="O54" s="81">
        <v>8.615</v>
      </c>
      <c r="P54" s="110">
        <v>0.103</v>
      </c>
      <c r="Q54" s="81"/>
      <c r="R54" s="110"/>
      <c r="S54" s="81"/>
      <c r="T54" s="81"/>
      <c r="U54" s="81"/>
      <c r="V54" s="86"/>
      <c r="W54" s="86"/>
      <c r="X54" s="86"/>
      <c r="Y54" s="81"/>
      <c r="Z54" s="81"/>
      <c r="AA54" s="81">
        <f>SUM(D54:Z54)</f>
        <v>109.56599999999999</v>
      </c>
      <c r="AB54" s="104">
        <f t="shared" si="4"/>
        <v>-90.914</v>
      </c>
    </row>
    <row r="55" spans="2:28" ht="15">
      <c r="B55" s="107" t="s">
        <v>47</v>
      </c>
      <c r="C55" s="108">
        <v>6.62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>
        <v>1.2</v>
      </c>
      <c r="V55" s="86"/>
      <c r="W55" s="86"/>
      <c r="X55" s="86"/>
      <c r="Y55" s="81"/>
      <c r="Z55" s="81"/>
      <c r="AA55" s="81">
        <f>SUM(D55:Z55)</f>
        <v>1.2</v>
      </c>
      <c r="AB55" s="104">
        <f t="shared" si="4"/>
        <v>-5.42</v>
      </c>
    </row>
    <row r="56" spans="2:29" ht="15">
      <c r="B56" s="107" t="s">
        <v>24</v>
      </c>
      <c r="C56" s="108">
        <f>185.104+8.84+15+8.5+95+8.84</f>
        <v>321.284</v>
      </c>
      <c r="D56" s="81"/>
      <c r="E56" s="81"/>
      <c r="F56" s="81"/>
      <c r="G56" s="81"/>
      <c r="H56" s="81"/>
      <c r="I56" s="81"/>
      <c r="J56" s="81">
        <v>0.646</v>
      </c>
      <c r="K56" s="81"/>
      <c r="L56" s="81">
        <v>1.94</v>
      </c>
      <c r="M56" s="81">
        <v>1</v>
      </c>
      <c r="N56" s="81"/>
      <c r="O56" s="81">
        <v>16.18</v>
      </c>
      <c r="P56" s="81">
        <v>95</v>
      </c>
      <c r="Q56" s="81">
        <v>17.673</v>
      </c>
      <c r="R56" s="81"/>
      <c r="S56" s="81"/>
      <c r="T56" s="81">
        <v>0.278</v>
      </c>
      <c r="U56" s="81"/>
      <c r="V56" s="81"/>
      <c r="W56" s="81"/>
      <c r="X56" s="81"/>
      <c r="Y56" s="81"/>
      <c r="Z56" s="81"/>
      <c r="AA56" s="81">
        <f>SUM(D56:Z56)</f>
        <v>132.71699999999998</v>
      </c>
      <c r="AB56" s="104">
        <f t="shared" si="4"/>
        <v>-188.567</v>
      </c>
      <c r="AC56" s="66"/>
    </row>
    <row r="57" spans="1:40" s="66" customFormat="1" ht="15">
      <c r="A57" s="66">
        <v>130000</v>
      </c>
      <c r="B57" s="105" t="s">
        <v>48</v>
      </c>
      <c r="C57" s="106">
        <f>SUM(C58:C62)</f>
        <v>719.403</v>
      </c>
      <c r="D57" s="106">
        <f aca="true" t="shared" si="15" ref="D57:AA57">SUM(D58:D62)</f>
        <v>0</v>
      </c>
      <c r="E57" s="106">
        <f t="shared" si="15"/>
        <v>0</v>
      </c>
      <c r="F57" s="106">
        <f t="shared" si="15"/>
        <v>10.149000000000001</v>
      </c>
      <c r="G57" s="106">
        <f t="shared" si="15"/>
        <v>10.032</v>
      </c>
      <c r="H57" s="106">
        <f t="shared" si="15"/>
        <v>0</v>
      </c>
      <c r="I57" s="106">
        <f t="shared" si="15"/>
        <v>7.907</v>
      </c>
      <c r="J57" s="106">
        <f t="shared" si="15"/>
        <v>0</v>
      </c>
      <c r="K57" s="106">
        <f t="shared" si="15"/>
        <v>0</v>
      </c>
      <c r="L57" s="106">
        <f t="shared" si="15"/>
        <v>110.684</v>
      </c>
      <c r="M57" s="106">
        <f t="shared" si="15"/>
        <v>0</v>
      </c>
      <c r="N57" s="106">
        <f t="shared" si="15"/>
        <v>0</v>
      </c>
      <c r="O57" s="106">
        <f t="shared" si="15"/>
        <v>3.111</v>
      </c>
      <c r="P57" s="106">
        <f t="shared" si="15"/>
        <v>0</v>
      </c>
      <c r="Q57" s="106">
        <f t="shared" si="15"/>
        <v>11.492</v>
      </c>
      <c r="R57" s="106">
        <f t="shared" si="15"/>
        <v>0</v>
      </c>
      <c r="S57" s="106">
        <f t="shared" si="15"/>
        <v>71.208</v>
      </c>
      <c r="T57" s="106">
        <f>SUM(T58:T62)</f>
        <v>14.895</v>
      </c>
      <c r="U57" s="106">
        <f>SUM(U58:U62)</f>
        <v>211.58899999999997</v>
      </c>
      <c r="V57" s="106">
        <f t="shared" si="15"/>
        <v>0</v>
      </c>
      <c r="W57" s="106">
        <f t="shared" si="15"/>
        <v>0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451.067</v>
      </c>
      <c r="AB57" s="104">
        <f t="shared" si="4"/>
        <v>-268.336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">
      <c r="B58" s="107" t="s">
        <v>20</v>
      </c>
      <c r="C58" s="108">
        <v>393.93</v>
      </c>
      <c r="D58" s="81"/>
      <c r="E58" s="81"/>
      <c r="F58" s="81">
        <v>2.153</v>
      </c>
      <c r="G58" s="81"/>
      <c r="H58" s="81"/>
      <c r="I58" s="81"/>
      <c r="J58" s="110"/>
      <c r="K58" s="81"/>
      <c r="L58" s="81">
        <v>97.818</v>
      </c>
      <c r="M58" s="81"/>
      <c r="N58" s="81"/>
      <c r="O58" s="81"/>
      <c r="P58" s="110"/>
      <c r="Q58" s="81"/>
      <c r="R58" s="110"/>
      <c r="S58" s="81"/>
      <c r="T58" s="81"/>
      <c r="U58" s="81">
        <v>172.688</v>
      </c>
      <c r="V58" s="86"/>
      <c r="W58" s="86"/>
      <c r="X58" s="81"/>
      <c r="Y58" s="81"/>
      <c r="Z58" s="81"/>
      <c r="AA58" s="81">
        <f>SUM(D58:Z58)</f>
        <v>272.659</v>
      </c>
      <c r="AB58" s="104">
        <f t="shared" si="4"/>
        <v>-121.27100000000002</v>
      </c>
    </row>
    <row r="59" spans="2:28" ht="15">
      <c r="B59" s="107" t="s">
        <v>29</v>
      </c>
      <c r="C59" s="108">
        <v>0.5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/>
      <c r="V59" s="86"/>
      <c r="W59" s="86"/>
      <c r="X59" s="81"/>
      <c r="Y59" s="81"/>
      <c r="Z59" s="81"/>
      <c r="AA59" s="81">
        <f>SUM(D59:Z59)</f>
        <v>0</v>
      </c>
      <c r="AB59" s="104">
        <f t="shared" si="4"/>
        <v>-0.5</v>
      </c>
    </row>
    <row r="60" spans="2:28" ht="15">
      <c r="B60" s="107" t="s">
        <v>22</v>
      </c>
      <c r="C60" s="108">
        <v>57.017</v>
      </c>
      <c r="D60" s="81"/>
      <c r="E60" s="81"/>
      <c r="F60" s="81"/>
      <c r="G60" s="81">
        <v>10.032</v>
      </c>
      <c r="H60" s="81"/>
      <c r="I60" s="81"/>
      <c r="J60" s="86"/>
      <c r="K60" s="81"/>
      <c r="L60" s="81">
        <v>3.988</v>
      </c>
      <c r="M60" s="81"/>
      <c r="N60" s="81"/>
      <c r="O60" s="81">
        <v>3.111</v>
      </c>
      <c r="P60" s="110"/>
      <c r="Q60" s="81">
        <v>5.65</v>
      </c>
      <c r="R60" s="81"/>
      <c r="S60" s="81"/>
      <c r="T60" s="81"/>
      <c r="U60" s="81">
        <v>0.682</v>
      </c>
      <c r="V60" s="86"/>
      <c r="W60" s="86"/>
      <c r="X60" s="81"/>
      <c r="Y60" s="81"/>
      <c r="Z60" s="81"/>
      <c r="AA60" s="81">
        <f>SUM(D60:Z60)</f>
        <v>23.462999999999997</v>
      </c>
      <c r="AB60" s="104">
        <f t="shared" si="4"/>
        <v>-33.554</v>
      </c>
    </row>
    <row r="61" spans="2:28" ht="15">
      <c r="B61" s="107" t="s">
        <v>35</v>
      </c>
      <c r="C61" s="108">
        <f>24.863+17.6</f>
        <v>42.463</v>
      </c>
      <c r="D61" s="81"/>
      <c r="E61" s="81"/>
      <c r="F61" s="81"/>
      <c r="G61" s="81"/>
      <c r="H61" s="81"/>
      <c r="I61" s="81">
        <v>7.907</v>
      </c>
      <c r="J61" s="86"/>
      <c r="K61" s="81"/>
      <c r="L61" s="81"/>
      <c r="M61" s="81"/>
      <c r="N61" s="81"/>
      <c r="O61" s="81"/>
      <c r="P61" s="81"/>
      <c r="Q61" s="81"/>
      <c r="R61" s="81"/>
      <c r="S61" s="81"/>
      <c r="T61" s="81">
        <v>14.895</v>
      </c>
      <c r="U61" s="81"/>
      <c r="V61" s="86"/>
      <c r="W61" s="81"/>
      <c r="X61" s="86"/>
      <c r="Y61" s="86"/>
      <c r="Z61" s="86"/>
      <c r="AA61" s="81">
        <f>SUM(D61:Z61)</f>
        <v>22.802</v>
      </c>
      <c r="AB61" s="104">
        <f t="shared" si="4"/>
        <v>-19.661</v>
      </c>
    </row>
    <row r="62" spans="2:28" ht="15">
      <c r="B62" s="107" t="s">
        <v>24</v>
      </c>
      <c r="C62" s="108">
        <f>107.293+18.9+66+33.3</f>
        <v>225.493</v>
      </c>
      <c r="D62" s="81"/>
      <c r="E62" s="81"/>
      <c r="F62" s="81">
        <v>7.996</v>
      </c>
      <c r="G62" s="81"/>
      <c r="H62" s="81"/>
      <c r="I62" s="81"/>
      <c r="J62" s="81"/>
      <c r="K62" s="81"/>
      <c r="L62" s="81">
        <v>8.878</v>
      </c>
      <c r="M62" s="81"/>
      <c r="N62" s="81"/>
      <c r="O62" s="81"/>
      <c r="P62" s="81"/>
      <c r="Q62" s="81">
        <v>5.842</v>
      </c>
      <c r="R62" s="81"/>
      <c r="S62" s="81">
        <v>71.208</v>
      </c>
      <c r="T62" s="81"/>
      <c r="U62" s="81">
        <v>38.219</v>
      </c>
      <c r="V62" s="81"/>
      <c r="W62" s="81"/>
      <c r="X62" s="81"/>
      <c r="Y62" s="81"/>
      <c r="Z62" s="81"/>
      <c r="AA62" s="81">
        <f>SUM(D62:Z62)</f>
        <v>132.143</v>
      </c>
      <c r="AB62" s="104">
        <f t="shared" si="4"/>
        <v>-93.35</v>
      </c>
    </row>
    <row r="63" spans="2:28" ht="15">
      <c r="B63" s="105" t="s">
        <v>50</v>
      </c>
      <c r="C63" s="106">
        <f>C64+C65</f>
        <v>3768.841</v>
      </c>
      <c r="D63" s="106">
        <f aca="true" t="shared" si="16" ref="D63:AA63">D64+D65</f>
        <v>0</v>
      </c>
      <c r="E63" s="106">
        <f t="shared" si="16"/>
        <v>0</v>
      </c>
      <c r="F63" s="106">
        <f t="shared" si="16"/>
        <v>69.065</v>
      </c>
      <c r="G63" s="106">
        <f t="shared" si="16"/>
        <v>664.57</v>
      </c>
      <c r="H63" s="106">
        <f t="shared" si="16"/>
        <v>0</v>
      </c>
      <c r="I63" s="106">
        <f t="shared" si="16"/>
        <v>0</v>
      </c>
      <c r="J63" s="106">
        <f t="shared" si="16"/>
        <v>3.191</v>
      </c>
      <c r="K63" s="106">
        <f t="shared" si="16"/>
        <v>0</v>
      </c>
      <c r="L63" s="106">
        <f t="shared" si="16"/>
        <v>317.652</v>
      </c>
      <c r="M63" s="106">
        <f t="shared" si="16"/>
        <v>0</v>
      </c>
      <c r="N63" s="106">
        <f t="shared" si="16"/>
        <v>8.954</v>
      </c>
      <c r="O63" s="106">
        <f t="shared" si="16"/>
        <v>0</v>
      </c>
      <c r="P63" s="106">
        <f t="shared" si="16"/>
        <v>54.267</v>
      </c>
      <c r="Q63" s="106">
        <f t="shared" si="16"/>
        <v>513.007</v>
      </c>
      <c r="R63" s="106">
        <f t="shared" si="16"/>
        <v>4.854</v>
      </c>
      <c r="S63" s="106">
        <f t="shared" si="16"/>
        <v>24.96</v>
      </c>
      <c r="T63" s="106">
        <f>T64+T65</f>
        <v>262.081</v>
      </c>
      <c r="U63" s="106">
        <f t="shared" si="16"/>
        <v>5</v>
      </c>
      <c r="V63" s="106">
        <f t="shared" si="16"/>
        <v>0</v>
      </c>
      <c r="W63" s="106">
        <f t="shared" si="16"/>
        <v>0</v>
      </c>
      <c r="X63" s="106">
        <f t="shared" si="16"/>
        <v>0</v>
      </c>
      <c r="Y63" s="106">
        <f t="shared" si="16"/>
        <v>0</v>
      </c>
      <c r="Z63" s="106">
        <f>Z64+Z65</f>
        <v>0</v>
      </c>
      <c r="AA63" s="106">
        <f t="shared" si="16"/>
        <v>1927.601</v>
      </c>
      <c r="AB63" s="104">
        <f t="shared" si="4"/>
        <v>-1841.2399999999998</v>
      </c>
    </row>
    <row r="64" spans="2:28" ht="15">
      <c r="B64" s="118" t="s">
        <v>51</v>
      </c>
      <c r="C64" s="113">
        <f>185.68+179</f>
        <v>364.68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>
        <v>145.822</v>
      </c>
      <c r="U64" s="86">
        <v>5</v>
      </c>
      <c r="V64" s="86"/>
      <c r="W64" s="86"/>
      <c r="X64" s="86"/>
      <c r="Y64" s="86"/>
      <c r="Z64" s="86"/>
      <c r="AA64" s="86">
        <f>SUM(D64:Z64)</f>
        <v>150.822</v>
      </c>
      <c r="AB64" s="104">
        <f t="shared" si="4"/>
        <v>-213.858</v>
      </c>
    </row>
    <row r="65" spans="2:28" ht="15">
      <c r="B65" s="118" t="s">
        <v>35</v>
      </c>
      <c r="C65" s="113">
        <f>2673.606+730.555</f>
        <v>3404.161</v>
      </c>
      <c r="D65" s="86"/>
      <c r="E65" s="86"/>
      <c r="F65" s="86">
        <v>69.065</v>
      </c>
      <c r="G65" s="86">
        <v>664.57</v>
      </c>
      <c r="H65" s="86"/>
      <c r="I65" s="86"/>
      <c r="J65" s="86">
        <v>3.191</v>
      </c>
      <c r="K65" s="86"/>
      <c r="L65" s="86">
        <v>317.652</v>
      </c>
      <c r="M65" s="86"/>
      <c r="N65" s="86">
        <v>8.954</v>
      </c>
      <c r="O65" s="86"/>
      <c r="P65" s="86">
        <v>54.267</v>
      </c>
      <c r="Q65" s="86">
        <v>513.007</v>
      </c>
      <c r="R65" s="86">
        <v>4.854</v>
      </c>
      <c r="S65" s="86">
        <v>24.96</v>
      </c>
      <c r="T65" s="86">
        <v>116.259</v>
      </c>
      <c r="U65" s="86"/>
      <c r="V65" s="86"/>
      <c r="W65" s="86"/>
      <c r="X65" s="86"/>
      <c r="Y65" s="86"/>
      <c r="Z65" s="86"/>
      <c r="AA65" s="86">
        <f>SUM(D65:Z65)</f>
        <v>1776.7790000000002</v>
      </c>
      <c r="AB65" s="104">
        <f t="shared" si="4"/>
        <v>-1627.3819999999998</v>
      </c>
    </row>
    <row r="66" spans="2:28" ht="15">
      <c r="B66" s="105" t="s">
        <v>52</v>
      </c>
      <c r="C66" s="106">
        <f>C67+C68</f>
        <v>96.497</v>
      </c>
      <c r="D66" s="106">
        <f aca="true" t="shared" si="17" ref="D66:AA66">D67+D68</f>
        <v>0</v>
      </c>
      <c r="E66" s="106">
        <f t="shared" si="17"/>
        <v>0</v>
      </c>
      <c r="F66" s="106">
        <f t="shared" si="17"/>
        <v>0.654</v>
      </c>
      <c r="G66" s="106">
        <f t="shared" si="17"/>
        <v>0</v>
      </c>
      <c r="H66" s="106">
        <f t="shared" si="17"/>
        <v>0</v>
      </c>
      <c r="I66" s="106">
        <f t="shared" si="17"/>
        <v>9.616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3.5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13.77</v>
      </c>
      <c r="AB66" s="104">
        <f t="shared" si="4"/>
        <v>-82.727</v>
      </c>
    </row>
    <row r="67" spans="2:28" ht="15">
      <c r="B67" s="107" t="s">
        <v>22</v>
      </c>
      <c r="C67" s="113">
        <v>23.45</v>
      </c>
      <c r="D67" s="86"/>
      <c r="E67" s="86"/>
      <c r="F67" s="86"/>
      <c r="G67" s="86"/>
      <c r="H67" s="86"/>
      <c r="I67" s="86">
        <v>9.616</v>
      </c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9.616</v>
      </c>
      <c r="AB67" s="104">
        <f t="shared" si="4"/>
        <v>-13.834</v>
      </c>
    </row>
    <row r="68" spans="2:28" ht="15">
      <c r="B68" s="107" t="s">
        <v>35</v>
      </c>
      <c r="C68" s="113">
        <f>0.654+72.393</f>
        <v>73.047</v>
      </c>
      <c r="D68" s="86"/>
      <c r="E68" s="86"/>
      <c r="F68" s="86">
        <v>0.654</v>
      </c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>
        <v>3.5</v>
      </c>
      <c r="S68" s="86"/>
      <c r="T68" s="86"/>
      <c r="U68" s="86"/>
      <c r="V68" s="86"/>
      <c r="W68" s="86"/>
      <c r="X68" s="86"/>
      <c r="Y68" s="86"/>
      <c r="Z68" s="86"/>
      <c r="AA68" s="86">
        <f>SUM(D68:Z68)</f>
        <v>4.154</v>
      </c>
      <c r="AB68" s="104">
        <f t="shared" si="4"/>
        <v>-68.893</v>
      </c>
    </row>
    <row r="69" spans="2:28" ht="45" customHeight="1" hidden="1">
      <c r="B69" s="119" t="s">
        <v>53</v>
      </c>
      <c r="C69" s="106">
        <v>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4">
        <f t="shared" si="4"/>
        <v>0</v>
      </c>
    </row>
    <row r="70" spans="1:29" ht="15">
      <c r="A70" s="66">
        <v>170703</v>
      </c>
      <c r="B70" s="105" t="s">
        <v>54</v>
      </c>
      <c r="C70" s="106">
        <f>C71</f>
        <v>1266.2</v>
      </c>
      <c r="D70" s="106">
        <f aca="true" t="shared" si="18" ref="D70:AA70">D71</f>
        <v>0</v>
      </c>
      <c r="E70" s="106">
        <f t="shared" si="18"/>
        <v>0</v>
      </c>
      <c r="F70" s="106">
        <f t="shared" si="18"/>
        <v>112</v>
      </c>
      <c r="G70" s="106">
        <f t="shared" si="18"/>
        <v>0</v>
      </c>
      <c r="H70" s="106">
        <f t="shared" si="18"/>
        <v>0</v>
      </c>
      <c r="I70" s="106">
        <f t="shared" si="18"/>
        <v>38.098</v>
      </c>
      <c r="J70" s="106">
        <f t="shared" si="18"/>
        <v>0</v>
      </c>
      <c r="K70" s="106">
        <f t="shared" si="18"/>
        <v>0</v>
      </c>
      <c r="L70" s="106">
        <f t="shared" si="18"/>
        <v>59.684</v>
      </c>
      <c r="M70" s="106">
        <f t="shared" si="18"/>
        <v>274.484</v>
      </c>
      <c r="N70" s="106">
        <f t="shared" si="18"/>
        <v>0</v>
      </c>
      <c r="O70" s="106">
        <f t="shared" si="18"/>
        <v>135.736</v>
      </c>
      <c r="P70" s="106">
        <f t="shared" si="18"/>
        <v>0</v>
      </c>
      <c r="Q70" s="106">
        <f t="shared" si="18"/>
        <v>0</v>
      </c>
      <c r="R70" s="106">
        <f t="shared" si="18"/>
        <v>139.264</v>
      </c>
      <c r="S70" s="106">
        <f t="shared" si="18"/>
        <v>0</v>
      </c>
      <c r="T70" s="106">
        <f t="shared" si="18"/>
        <v>149.944</v>
      </c>
      <c r="U70" s="106">
        <f t="shared" si="18"/>
        <v>119.788</v>
      </c>
      <c r="V70" s="106">
        <f t="shared" si="18"/>
        <v>0</v>
      </c>
      <c r="W70" s="106">
        <f t="shared" si="18"/>
        <v>0</v>
      </c>
      <c r="X70" s="106">
        <f t="shared" si="18"/>
        <v>0</v>
      </c>
      <c r="Y70" s="106">
        <f t="shared" si="18"/>
        <v>0</v>
      </c>
      <c r="Z70" s="106">
        <f t="shared" si="18"/>
        <v>0</v>
      </c>
      <c r="AA70" s="106">
        <f t="shared" si="18"/>
        <v>1028.9979999999998</v>
      </c>
      <c r="AB70" s="104">
        <f t="shared" si="4"/>
        <v>-237.20200000000023</v>
      </c>
      <c r="AC70" s="94"/>
    </row>
    <row r="71" spans="2:40" s="94" customFormat="1" ht="15">
      <c r="B71" s="118" t="s">
        <v>51</v>
      </c>
      <c r="C71" s="113">
        <f>1187.2+79</f>
        <v>1266.2</v>
      </c>
      <c r="D71" s="86"/>
      <c r="E71" s="86"/>
      <c r="F71" s="86">
        <v>112</v>
      </c>
      <c r="G71" s="86"/>
      <c r="H71" s="86"/>
      <c r="I71" s="86">
        <v>38.098</v>
      </c>
      <c r="J71" s="86"/>
      <c r="K71" s="86"/>
      <c r="L71" s="86">
        <v>59.684</v>
      </c>
      <c r="M71" s="86">
        <v>274.484</v>
      </c>
      <c r="N71" s="86"/>
      <c r="O71" s="86">
        <v>135.736</v>
      </c>
      <c r="P71" s="86"/>
      <c r="Q71" s="86"/>
      <c r="R71" s="86">
        <v>139.264</v>
      </c>
      <c r="S71" s="86"/>
      <c r="T71" s="86">
        <v>149.944</v>
      </c>
      <c r="U71" s="86">
        <v>119.788</v>
      </c>
      <c r="V71" s="86"/>
      <c r="W71" s="86"/>
      <c r="X71" s="86"/>
      <c r="Y71" s="86"/>
      <c r="Z71" s="86"/>
      <c r="AA71" s="86">
        <f aca="true" t="shared" si="19" ref="AA71:AA80">SUM(D71:Z71)</f>
        <v>1028.9979999999998</v>
      </c>
      <c r="AB71" s="104">
        <f t="shared" si="4"/>
        <v>-237.20200000000023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7">
      <c r="B72" s="119" t="s">
        <v>55</v>
      </c>
      <c r="C72" s="106">
        <v>10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0</v>
      </c>
      <c r="AB72" s="104">
        <f t="shared" si="4"/>
        <v>-10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15">
      <c r="B73" s="119" t="s">
        <v>56</v>
      </c>
      <c r="C73" s="106">
        <v>500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>
        <v>162.522</v>
      </c>
      <c r="V73" s="106"/>
      <c r="W73" s="106"/>
      <c r="X73" s="106"/>
      <c r="Y73" s="106"/>
      <c r="Z73" s="106"/>
      <c r="AA73" s="106">
        <f t="shared" si="19"/>
        <v>162.522</v>
      </c>
      <c r="AB73" s="104"/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">
      <c r="B74" s="119" t="s">
        <v>57</v>
      </c>
      <c r="C74" s="106">
        <v>16.182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</v>
      </c>
      <c r="AB74" s="104">
        <f t="shared" si="4"/>
        <v>-16.182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15">
      <c r="B75" s="119" t="s">
        <v>58</v>
      </c>
      <c r="C75" s="106">
        <v>281.128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</v>
      </c>
      <c r="AB75" s="104">
        <f t="shared" si="4"/>
        <v>-281.128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1:40" s="66" customFormat="1" ht="15">
      <c r="A76" s="66">
        <v>250102</v>
      </c>
      <c r="B76" s="105" t="s">
        <v>59</v>
      </c>
      <c r="C76" s="106">
        <v>67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0</v>
      </c>
      <c r="AB76" s="104">
        <f t="shared" si="4"/>
        <v>-67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55.5">
      <c r="B77" s="105" t="s">
        <v>60</v>
      </c>
      <c r="C77" s="106">
        <v>191.768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19"/>
        <v>0</v>
      </c>
      <c r="AB77" s="104"/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71.25" customHeight="1">
      <c r="B78" s="105" t="s">
        <v>61</v>
      </c>
      <c r="C78" s="106">
        <v>250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>
        <v>250</v>
      </c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19"/>
        <v>250</v>
      </c>
      <c r="AB78" s="104"/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55.5">
      <c r="B79" s="105" t="s">
        <v>62</v>
      </c>
      <c r="C79" s="106">
        <v>278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>
        <v>22</v>
      </c>
      <c r="T79" s="106"/>
      <c r="U79" s="106">
        <v>250</v>
      </c>
      <c r="V79" s="106"/>
      <c r="W79" s="106"/>
      <c r="X79" s="106"/>
      <c r="Y79" s="106"/>
      <c r="Z79" s="106"/>
      <c r="AA79" s="106">
        <f t="shared" si="19"/>
        <v>272</v>
      </c>
      <c r="AB79" s="104"/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42">
      <c r="B80" s="105" t="s">
        <v>63</v>
      </c>
      <c r="C80" s="106">
        <v>0</v>
      </c>
      <c r="D80" s="106"/>
      <c r="E80" s="106">
        <v>8.837</v>
      </c>
      <c r="F80" s="106"/>
      <c r="G80" s="106">
        <v>14.925</v>
      </c>
      <c r="H80" s="106">
        <v>828.463</v>
      </c>
      <c r="I80" s="106">
        <v>200.277</v>
      </c>
      <c r="J80" s="106">
        <v>22.208</v>
      </c>
      <c r="K80" s="106">
        <v>43.547</v>
      </c>
      <c r="L80" s="106">
        <v>0.81</v>
      </c>
      <c r="M80" s="106">
        <v>332.882</v>
      </c>
      <c r="N80" s="106">
        <v>476.853</v>
      </c>
      <c r="O80" s="106">
        <v>19.975</v>
      </c>
      <c r="P80" s="106">
        <v>74.91</v>
      </c>
      <c r="Q80" s="106">
        <v>38.652</v>
      </c>
      <c r="R80" s="106">
        <v>27.11</v>
      </c>
      <c r="S80" s="106">
        <v>603.833</v>
      </c>
      <c r="T80" s="106">
        <v>424.206</v>
      </c>
      <c r="U80" s="106">
        <v>58.146</v>
      </c>
      <c r="V80" s="106">
        <v>-11.247</v>
      </c>
      <c r="W80" s="106"/>
      <c r="X80" s="106"/>
      <c r="Y80" s="106"/>
      <c r="Z80" s="106"/>
      <c r="AA80" s="106">
        <f t="shared" si="19"/>
        <v>3164.3870000000006</v>
      </c>
      <c r="AB80" s="104">
        <f t="shared" si="4"/>
        <v>3164.3870000000006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15">
      <c r="B81" s="120" t="s">
        <v>64</v>
      </c>
      <c r="C81" s="121">
        <f>SUM(C82:C88)</f>
        <v>31397.323999999997</v>
      </c>
      <c r="D81" s="121">
        <f aca="true" t="shared" si="20" ref="D81:AA81">SUM(D82:D88)</f>
        <v>0</v>
      </c>
      <c r="E81" s="121">
        <f t="shared" si="20"/>
        <v>73.521</v>
      </c>
      <c r="F81" s="121">
        <f t="shared" si="20"/>
        <v>289.265</v>
      </c>
      <c r="G81" s="121">
        <f t="shared" si="20"/>
        <v>935.393</v>
      </c>
      <c r="H81" s="121">
        <f t="shared" si="20"/>
        <v>1125.584</v>
      </c>
      <c r="I81" s="121">
        <f t="shared" si="20"/>
        <v>383.358</v>
      </c>
      <c r="J81" s="121">
        <f t="shared" si="20"/>
        <v>1823.74</v>
      </c>
      <c r="K81" s="121">
        <f t="shared" si="20"/>
        <v>3074.685</v>
      </c>
      <c r="L81" s="121">
        <f t="shared" si="20"/>
        <v>1686.6750000000002</v>
      </c>
      <c r="M81" s="121">
        <f t="shared" si="20"/>
        <v>688.071</v>
      </c>
      <c r="N81" s="121">
        <f t="shared" si="20"/>
        <v>578.6790000000001</v>
      </c>
      <c r="O81" s="121">
        <f t="shared" si="20"/>
        <v>474.372</v>
      </c>
      <c r="P81" s="121">
        <f t="shared" si="20"/>
        <v>725.841</v>
      </c>
      <c r="Q81" s="121">
        <f t="shared" si="20"/>
        <v>859.31</v>
      </c>
      <c r="R81" s="121">
        <f t="shared" si="20"/>
        <v>392.66</v>
      </c>
      <c r="S81" s="121">
        <f t="shared" si="20"/>
        <v>959.634</v>
      </c>
      <c r="T81" s="121">
        <f>SUM(T82:T88)</f>
        <v>6600.66</v>
      </c>
      <c r="U81" s="121">
        <f t="shared" si="20"/>
        <v>2794.09</v>
      </c>
      <c r="V81" s="121">
        <f t="shared" si="20"/>
        <v>-12.836</v>
      </c>
      <c r="W81" s="121">
        <f t="shared" si="20"/>
        <v>0</v>
      </c>
      <c r="X81" s="121">
        <f t="shared" si="20"/>
        <v>0</v>
      </c>
      <c r="Y81" s="121">
        <f t="shared" si="20"/>
        <v>0</v>
      </c>
      <c r="Z81" s="121">
        <f t="shared" si="20"/>
        <v>0</v>
      </c>
      <c r="AA81" s="121">
        <f t="shared" si="20"/>
        <v>23452.702</v>
      </c>
      <c r="AB81" s="104">
        <f t="shared" si="4"/>
        <v>-7944.621999999996</v>
      </c>
      <c r="AC81" s="69"/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1:40" s="72" customFormat="1" ht="15">
      <c r="A82" s="69"/>
      <c r="B82" s="107" t="s">
        <v>20</v>
      </c>
      <c r="C82" s="108">
        <f aca="true" t="shared" si="21" ref="C82:AA82">C20+C36+C42+C46+C50+C53+C58+C24</f>
        <v>16056.895</v>
      </c>
      <c r="D82" s="108">
        <f t="shared" si="21"/>
        <v>0</v>
      </c>
      <c r="E82" s="108">
        <f t="shared" si="21"/>
        <v>0</v>
      </c>
      <c r="F82" s="108">
        <f t="shared" si="21"/>
        <v>56.895999999999994</v>
      </c>
      <c r="G82" s="108">
        <f t="shared" si="21"/>
        <v>0</v>
      </c>
      <c r="H82" s="108">
        <f t="shared" si="21"/>
        <v>0</v>
      </c>
      <c r="I82" s="108">
        <f t="shared" si="21"/>
        <v>0</v>
      </c>
      <c r="J82" s="108">
        <f t="shared" si="21"/>
        <v>1323.674</v>
      </c>
      <c r="K82" s="108">
        <f t="shared" si="21"/>
        <v>2691.363</v>
      </c>
      <c r="L82" s="108">
        <f t="shared" si="21"/>
        <v>1129.985</v>
      </c>
      <c r="M82" s="108">
        <f t="shared" si="21"/>
        <v>17.65</v>
      </c>
      <c r="N82" s="108">
        <f t="shared" si="21"/>
        <v>1.4</v>
      </c>
      <c r="O82" s="108">
        <f t="shared" si="21"/>
        <v>0</v>
      </c>
      <c r="P82" s="108">
        <f t="shared" si="21"/>
        <v>0</v>
      </c>
      <c r="Q82" s="108">
        <f t="shared" si="21"/>
        <v>0</v>
      </c>
      <c r="R82" s="108">
        <f t="shared" si="21"/>
        <v>0</v>
      </c>
      <c r="S82" s="108">
        <f t="shared" si="21"/>
        <v>136.972</v>
      </c>
      <c r="T82" s="108">
        <f t="shared" si="21"/>
        <v>5093.928</v>
      </c>
      <c r="U82" s="108">
        <f t="shared" si="21"/>
        <v>1676.201</v>
      </c>
      <c r="V82" s="108">
        <f t="shared" si="21"/>
        <v>0</v>
      </c>
      <c r="W82" s="108">
        <f t="shared" si="21"/>
        <v>0</v>
      </c>
      <c r="X82" s="108">
        <f t="shared" si="21"/>
        <v>0</v>
      </c>
      <c r="Y82" s="108">
        <f t="shared" si="21"/>
        <v>0</v>
      </c>
      <c r="Z82" s="108">
        <f t="shared" si="21"/>
        <v>0</v>
      </c>
      <c r="AA82" s="108">
        <f t="shared" si="21"/>
        <v>12128.069</v>
      </c>
      <c r="AB82" s="104">
        <f t="shared" si="4"/>
        <v>-3928.826000000001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">
      <c r="A83" s="69"/>
      <c r="B83" s="107" t="s">
        <v>29</v>
      </c>
      <c r="C83" s="108">
        <f aca="true" t="shared" si="22" ref="C83:AA83">C25+C37+C59</f>
        <v>14.613</v>
      </c>
      <c r="D83" s="108">
        <f t="shared" si="22"/>
        <v>0</v>
      </c>
      <c r="E83" s="108">
        <f t="shared" si="22"/>
        <v>0</v>
      </c>
      <c r="F83" s="108">
        <f t="shared" si="22"/>
        <v>0</v>
      </c>
      <c r="G83" s="108">
        <f t="shared" si="22"/>
        <v>0</v>
      </c>
      <c r="H83" s="108">
        <f t="shared" si="22"/>
        <v>0.23</v>
      </c>
      <c r="I83" s="108">
        <f t="shared" si="22"/>
        <v>0</v>
      </c>
      <c r="J83" s="108">
        <f t="shared" si="22"/>
        <v>0</v>
      </c>
      <c r="K83" s="108">
        <f t="shared" si="22"/>
        <v>0</v>
      </c>
      <c r="L83" s="108">
        <f t="shared" si="22"/>
        <v>0</v>
      </c>
      <c r="M83" s="108">
        <f t="shared" si="22"/>
        <v>0</v>
      </c>
      <c r="N83" s="108">
        <f t="shared" si="22"/>
        <v>0.999</v>
      </c>
      <c r="O83" s="108">
        <f t="shared" si="22"/>
        <v>0</v>
      </c>
      <c r="P83" s="108">
        <f t="shared" si="22"/>
        <v>0.854</v>
      </c>
      <c r="Q83" s="108">
        <f t="shared" si="22"/>
        <v>1.499</v>
      </c>
      <c r="R83" s="108">
        <f t="shared" si="22"/>
        <v>0</v>
      </c>
      <c r="S83" s="108">
        <f t="shared" si="22"/>
        <v>0</v>
      </c>
      <c r="T83" s="108">
        <f t="shared" si="22"/>
        <v>0</v>
      </c>
      <c r="U83" s="108">
        <f t="shared" si="22"/>
        <v>0</v>
      </c>
      <c r="V83" s="108">
        <f t="shared" si="22"/>
        <v>0</v>
      </c>
      <c r="W83" s="108">
        <f t="shared" si="22"/>
        <v>0</v>
      </c>
      <c r="X83" s="108">
        <f t="shared" si="22"/>
        <v>0</v>
      </c>
      <c r="Y83" s="108">
        <f t="shared" si="22"/>
        <v>0</v>
      </c>
      <c r="Z83" s="108">
        <f t="shared" si="22"/>
        <v>0</v>
      </c>
      <c r="AA83" s="108">
        <f t="shared" si="22"/>
        <v>3.5820000000000003</v>
      </c>
      <c r="AB83" s="104">
        <f t="shared" si="4"/>
        <v>-11.030999999999999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">
      <c r="A84" s="69"/>
      <c r="B84" s="107" t="s">
        <v>31</v>
      </c>
      <c r="C84" s="108">
        <f aca="true" t="shared" si="23" ref="C84:AA84">C26+C38</f>
        <v>804.602</v>
      </c>
      <c r="D84" s="108">
        <f t="shared" si="23"/>
        <v>0</v>
      </c>
      <c r="E84" s="108">
        <f t="shared" si="23"/>
        <v>0</v>
      </c>
      <c r="F84" s="108">
        <f t="shared" si="23"/>
        <v>0</v>
      </c>
      <c r="G84" s="108">
        <f t="shared" si="23"/>
        <v>30.869</v>
      </c>
      <c r="H84" s="108">
        <f t="shared" si="23"/>
        <v>63.172</v>
      </c>
      <c r="I84" s="108">
        <f t="shared" si="23"/>
        <v>0</v>
      </c>
      <c r="J84" s="108">
        <f t="shared" si="23"/>
        <v>45.738</v>
      </c>
      <c r="K84" s="108">
        <f t="shared" si="23"/>
        <v>85.613</v>
      </c>
      <c r="L84" s="108">
        <f t="shared" si="23"/>
        <v>73.709</v>
      </c>
      <c r="M84" s="108">
        <f t="shared" si="23"/>
        <v>0</v>
      </c>
      <c r="N84" s="108">
        <f t="shared" si="23"/>
        <v>49.159</v>
      </c>
      <c r="O84" s="108">
        <f t="shared" si="23"/>
        <v>0</v>
      </c>
      <c r="P84" s="108">
        <f t="shared" si="23"/>
        <v>24.826</v>
      </c>
      <c r="Q84" s="108">
        <f t="shared" si="23"/>
        <v>30.032</v>
      </c>
      <c r="R84" s="108">
        <f t="shared" si="23"/>
        <v>8.794</v>
      </c>
      <c r="S84" s="108">
        <f t="shared" si="23"/>
        <v>0</v>
      </c>
      <c r="T84" s="108">
        <f t="shared" si="23"/>
        <v>150.326</v>
      </c>
      <c r="U84" s="108">
        <f t="shared" si="23"/>
        <v>0</v>
      </c>
      <c r="V84" s="108">
        <f t="shared" si="23"/>
        <v>0</v>
      </c>
      <c r="W84" s="108">
        <f t="shared" si="23"/>
        <v>0</v>
      </c>
      <c r="X84" s="108">
        <f t="shared" si="23"/>
        <v>0</v>
      </c>
      <c r="Y84" s="108">
        <f t="shared" si="23"/>
        <v>0</v>
      </c>
      <c r="Z84" s="108">
        <f t="shared" si="23"/>
        <v>0</v>
      </c>
      <c r="AA84" s="108">
        <f t="shared" si="23"/>
        <v>562.2379999999999</v>
      </c>
      <c r="AB84" s="104">
        <f t="shared" si="4"/>
        <v>-242.36400000000003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">
      <c r="A85" s="69"/>
      <c r="B85" s="107" t="s">
        <v>22</v>
      </c>
      <c r="C85" s="108">
        <f aca="true" t="shared" si="24" ref="C85:AA85">C21+C27+C39+C43+C47+C54+C60+C67</f>
        <v>2982.0099999999998</v>
      </c>
      <c r="D85" s="108">
        <f t="shared" si="24"/>
        <v>0</v>
      </c>
      <c r="E85" s="108">
        <f t="shared" si="24"/>
        <v>36.028</v>
      </c>
      <c r="F85" s="108">
        <f t="shared" si="24"/>
        <v>23.715</v>
      </c>
      <c r="G85" s="108">
        <f t="shared" si="24"/>
        <v>157.781</v>
      </c>
      <c r="H85" s="108">
        <f t="shared" si="24"/>
        <v>153.958</v>
      </c>
      <c r="I85" s="108">
        <f t="shared" si="24"/>
        <v>45.98</v>
      </c>
      <c r="J85" s="108">
        <f t="shared" si="24"/>
        <v>360.251</v>
      </c>
      <c r="K85" s="108">
        <f t="shared" si="24"/>
        <v>226.266</v>
      </c>
      <c r="L85" s="108">
        <f t="shared" si="24"/>
        <v>67.468</v>
      </c>
      <c r="M85" s="108">
        <f t="shared" si="24"/>
        <v>18.238</v>
      </c>
      <c r="N85" s="108">
        <f t="shared" si="24"/>
        <v>1.914</v>
      </c>
      <c r="O85" s="108">
        <f t="shared" si="24"/>
        <v>12.792000000000002</v>
      </c>
      <c r="P85" s="108">
        <f t="shared" si="24"/>
        <v>353.071</v>
      </c>
      <c r="Q85" s="108">
        <f t="shared" si="24"/>
        <v>85.292</v>
      </c>
      <c r="R85" s="108">
        <f t="shared" si="24"/>
        <v>27.679</v>
      </c>
      <c r="S85" s="108">
        <f t="shared" si="24"/>
        <v>0</v>
      </c>
      <c r="T85" s="108">
        <f t="shared" si="24"/>
        <v>264.352</v>
      </c>
      <c r="U85" s="108">
        <f t="shared" si="24"/>
        <v>5.219</v>
      </c>
      <c r="V85" s="108">
        <f t="shared" si="24"/>
        <v>0</v>
      </c>
      <c r="W85" s="108">
        <f t="shared" si="24"/>
        <v>0</v>
      </c>
      <c r="X85" s="108">
        <f t="shared" si="24"/>
        <v>0</v>
      </c>
      <c r="Y85" s="108">
        <f t="shared" si="24"/>
        <v>0</v>
      </c>
      <c r="Z85" s="108">
        <f t="shared" si="24"/>
        <v>0</v>
      </c>
      <c r="AA85" s="108">
        <f t="shared" si="24"/>
        <v>1840.004</v>
      </c>
      <c r="AB85" s="104">
        <f>AA85-C85</f>
        <v>-1142.0059999999999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">
      <c r="A86" s="69"/>
      <c r="B86" s="107" t="s">
        <v>47</v>
      </c>
      <c r="C86" s="108">
        <f aca="true" t="shared" si="25" ref="C86:AA86">C55+C73</f>
        <v>506.62</v>
      </c>
      <c r="D86" s="108">
        <f t="shared" si="25"/>
        <v>0</v>
      </c>
      <c r="E86" s="108">
        <f t="shared" si="25"/>
        <v>0</v>
      </c>
      <c r="F86" s="108">
        <f t="shared" si="25"/>
        <v>0</v>
      </c>
      <c r="G86" s="108">
        <f t="shared" si="25"/>
        <v>0</v>
      </c>
      <c r="H86" s="108">
        <f t="shared" si="25"/>
        <v>0</v>
      </c>
      <c r="I86" s="108">
        <f t="shared" si="25"/>
        <v>0</v>
      </c>
      <c r="J86" s="108">
        <f t="shared" si="25"/>
        <v>0</v>
      </c>
      <c r="K86" s="108">
        <f t="shared" si="25"/>
        <v>0</v>
      </c>
      <c r="L86" s="108">
        <f t="shared" si="25"/>
        <v>0</v>
      </c>
      <c r="M86" s="108">
        <f t="shared" si="25"/>
        <v>0</v>
      </c>
      <c r="N86" s="108">
        <f t="shared" si="25"/>
        <v>0</v>
      </c>
      <c r="O86" s="108">
        <f t="shared" si="25"/>
        <v>0</v>
      </c>
      <c r="P86" s="108">
        <f t="shared" si="25"/>
        <v>0</v>
      </c>
      <c r="Q86" s="108">
        <f t="shared" si="25"/>
        <v>0</v>
      </c>
      <c r="R86" s="108">
        <f t="shared" si="25"/>
        <v>0</v>
      </c>
      <c r="S86" s="108">
        <f t="shared" si="25"/>
        <v>0</v>
      </c>
      <c r="T86" s="108">
        <f t="shared" si="25"/>
        <v>0</v>
      </c>
      <c r="U86" s="108">
        <f t="shared" si="25"/>
        <v>163.72199999999998</v>
      </c>
      <c r="V86" s="108">
        <f t="shared" si="25"/>
        <v>0</v>
      </c>
      <c r="W86" s="108">
        <f t="shared" si="25"/>
        <v>0</v>
      </c>
      <c r="X86" s="108">
        <f t="shared" si="25"/>
        <v>0</v>
      </c>
      <c r="Y86" s="108">
        <f t="shared" si="25"/>
        <v>0</v>
      </c>
      <c r="Z86" s="108">
        <f t="shared" si="25"/>
        <v>0</v>
      </c>
      <c r="AA86" s="108">
        <f t="shared" si="25"/>
        <v>163.72199999999998</v>
      </c>
      <c r="AB86" s="104">
        <f>AA86-C86</f>
        <v>-342.898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">
      <c r="A87" s="69"/>
      <c r="B87" s="107" t="s">
        <v>35</v>
      </c>
      <c r="C87" s="108">
        <f>C30+C51+C61+C65+C31+C68+C77+C78+C79</f>
        <v>5490.746999999999</v>
      </c>
      <c r="D87" s="108">
        <f aca="true" t="shared" si="26" ref="D87:AA87">D30+D51+D61+D65+D31+D68+D77+D78+D79</f>
        <v>0</v>
      </c>
      <c r="E87" s="108">
        <f t="shared" si="26"/>
        <v>5.028</v>
      </c>
      <c r="F87" s="108">
        <f t="shared" si="26"/>
        <v>69.719</v>
      </c>
      <c r="G87" s="108">
        <f t="shared" si="26"/>
        <v>664.57</v>
      </c>
      <c r="H87" s="108">
        <f t="shared" si="26"/>
        <v>0</v>
      </c>
      <c r="I87" s="108">
        <f t="shared" si="26"/>
        <v>7.907</v>
      </c>
      <c r="J87" s="108">
        <f t="shared" si="26"/>
        <v>28.445</v>
      </c>
      <c r="K87" s="108">
        <f t="shared" si="26"/>
        <v>0</v>
      </c>
      <c r="L87" s="108">
        <f t="shared" si="26"/>
        <v>317.652</v>
      </c>
      <c r="M87" s="108">
        <f t="shared" si="26"/>
        <v>31.253</v>
      </c>
      <c r="N87" s="108">
        <f t="shared" si="26"/>
        <v>8.954</v>
      </c>
      <c r="O87" s="108">
        <f t="shared" si="26"/>
        <v>250</v>
      </c>
      <c r="P87" s="108">
        <f t="shared" si="26"/>
        <v>152.541</v>
      </c>
      <c r="Q87" s="108">
        <f t="shared" si="26"/>
        <v>513.007</v>
      </c>
      <c r="R87" s="108">
        <f t="shared" si="26"/>
        <v>8.354</v>
      </c>
      <c r="S87" s="108">
        <f t="shared" si="26"/>
        <v>147.621</v>
      </c>
      <c r="T87" s="108">
        <f t="shared" si="26"/>
        <v>217.933</v>
      </c>
      <c r="U87" s="108">
        <f t="shared" si="26"/>
        <v>255.636</v>
      </c>
      <c r="V87" s="108">
        <f t="shared" si="26"/>
        <v>0</v>
      </c>
      <c r="W87" s="108">
        <f t="shared" si="26"/>
        <v>0</v>
      </c>
      <c r="X87" s="108">
        <f t="shared" si="26"/>
        <v>0</v>
      </c>
      <c r="Y87" s="108">
        <f t="shared" si="26"/>
        <v>0</v>
      </c>
      <c r="Z87" s="108">
        <f t="shared" si="26"/>
        <v>0</v>
      </c>
      <c r="AA87" s="108">
        <f t="shared" si="26"/>
        <v>2678.6200000000003</v>
      </c>
      <c r="AB87" s="104">
        <f>AA87-C87</f>
        <v>-2812.126999999999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">
      <c r="A88" s="69"/>
      <c r="B88" s="107" t="s">
        <v>24</v>
      </c>
      <c r="C88" s="108">
        <f aca="true" t="shared" si="27" ref="C88:AA88">C22+C28+C32+C33+C40+C44+C48+C56+C62+C71+C75+C76+C80+C64+C74+C72+C34+C69</f>
        <v>5541.837</v>
      </c>
      <c r="D88" s="108">
        <f t="shared" si="27"/>
        <v>0</v>
      </c>
      <c r="E88" s="108">
        <f t="shared" si="27"/>
        <v>32.465</v>
      </c>
      <c r="F88" s="108">
        <f t="shared" si="27"/>
        <v>138.935</v>
      </c>
      <c r="G88" s="108">
        <f t="shared" si="27"/>
        <v>82.173</v>
      </c>
      <c r="H88" s="108">
        <f t="shared" si="27"/>
        <v>908.224</v>
      </c>
      <c r="I88" s="108">
        <f t="shared" si="27"/>
        <v>329.471</v>
      </c>
      <c r="J88" s="108">
        <f t="shared" si="27"/>
        <v>65.63199999999999</v>
      </c>
      <c r="K88" s="108">
        <f t="shared" si="27"/>
        <v>71.443</v>
      </c>
      <c r="L88" s="108">
        <f t="shared" si="27"/>
        <v>97.861</v>
      </c>
      <c r="M88" s="108">
        <f t="shared" si="27"/>
        <v>620.9300000000001</v>
      </c>
      <c r="N88" s="108">
        <f t="shared" si="27"/>
        <v>516.253</v>
      </c>
      <c r="O88" s="108">
        <f t="shared" si="27"/>
        <v>211.57999999999998</v>
      </c>
      <c r="P88" s="108">
        <f t="shared" si="27"/>
        <v>194.54899999999998</v>
      </c>
      <c r="Q88" s="108">
        <f t="shared" si="27"/>
        <v>229.48000000000002</v>
      </c>
      <c r="R88" s="108">
        <f t="shared" si="27"/>
        <v>347.833</v>
      </c>
      <c r="S88" s="108">
        <f t="shared" si="27"/>
        <v>675.0409999999999</v>
      </c>
      <c r="T88" s="108">
        <f t="shared" si="27"/>
        <v>874.121</v>
      </c>
      <c r="U88" s="108">
        <f t="shared" si="27"/>
        <v>693.3119999999999</v>
      </c>
      <c r="V88" s="108">
        <f t="shared" si="27"/>
        <v>-12.836</v>
      </c>
      <c r="W88" s="108">
        <f t="shared" si="27"/>
        <v>0</v>
      </c>
      <c r="X88" s="108">
        <f t="shared" si="27"/>
        <v>0</v>
      </c>
      <c r="Y88" s="108">
        <f t="shared" si="27"/>
        <v>0</v>
      </c>
      <c r="Z88" s="108">
        <f t="shared" si="27"/>
        <v>0</v>
      </c>
      <c r="AA88" s="108">
        <f t="shared" si="27"/>
        <v>6076.467000000001</v>
      </c>
      <c r="AB88" s="104">
        <f>AA88-C88</f>
        <v>534.6300000000001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">
      <c r="A89" s="69"/>
      <c r="B89" s="69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">
      <c r="A90" s="69"/>
      <c r="B90" s="69" t="s">
        <v>65</v>
      </c>
      <c r="C90" s="124">
        <f aca="true" t="shared" si="28" ref="C90:AA90">C18-C81</f>
        <v>0</v>
      </c>
      <c r="D90" s="124">
        <f t="shared" si="28"/>
        <v>0</v>
      </c>
      <c r="E90" s="124">
        <f t="shared" si="28"/>
        <v>0</v>
      </c>
      <c r="F90" s="124">
        <f t="shared" si="28"/>
        <v>0</v>
      </c>
      <c r="G90" s="124">
        <f t="shared" si="28"/>
        <v>0</v>
      </c>
      <c r="H90" s="124">
        <f t="shared" si="28"/>
        <v>0</v>
      </c>
      <c r="I90" s="124">
        <f t="shared" si="28"/>
        <v>0</v>
      </c>
      <c r="J90" s="124">
        <f t="shared" si="28"/>
        <v>0</v>
      </c>
      <c r="K90" s="124">
        <f t="shared" si="28"/>
        <v>0</v>
      </c>
      <c r="L90" s="124">
        <f t="shared" si="28"/>
        <v>0</v>
      </c>
      <c r="M90" s="124">
        <f t="shared" si="28"/>
        <v>0</v>
      </c>
      <c r="N90" s="124">
        <f t="shared" si="28"/>
        <v>0</v>
      </c>
      <c r="O90" s="124">
        <f t="shared" si="28"/>
        <v>0</v>
      </c>
      <c r="P90" s="124">
        <f t="shared" si="28"/>
        <v>0</v>
      </c>
      <c r="Q90" s="124">
        <f t="shared" si="28"/>
        <v>0</v>
      </c>
      <c r="R90" s="124">
        <f t="shared" si="28"/>
        <v>0</v>
      </c>
      <c r="S90" s="124">
        <f t="shared" si="28"/>
        <v>0</v>
      </c>
      <c r="T90" s="124">
        <f t="shared" si="28"/>
        <v>0</v>
      </c>
      <c r="U90" s="124">
        <f t="shared" si="28"/>
        <v>0</v>
      </c>
      <c r="V90" s="124">
        <f t="shared" si="28"/>
        <v>0</v>
      </c>
      <c r="W90" s="124">
        <f t="shared" si="28"/>
        <v>0</v>
      </c>
      <c r="X90" s="124">
        <f t="shared" si="28"/>
        <v>0</v>
      </c>
      <c r="Y90" s="124">
        <f t="shared" si="28"/>
        <v>0</v>
      </c>
      <c r="Z90" s="124">
        <f t="shared" si="28"/>
        <v>0</v>
      </c>
      <c r="AA90" s="124">
        <f t="shared" si="28"/>
        <v>0</v>
      </c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">
      <c r="A91" s="69"/>
      <c r="B91" s="69"/>
      <c r="C91" s="12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4" spans="1:40" s="72" customFormat="1" ht="1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71"/>
      <c r="AC94" s="127"/>
      <c r="AG94" s="73"/>
      <c r="AH94" s="73"/>
      <c r="AI94" s="73"/>
      <c r="AJ94" s="73"/>
      <c r="AK94" s="73"/>
      <c r="AL94" s="73"/>
      <c r="AM94" s="73"/>
      <c r="AN94" s="73"/>
    </row>
    <row r="173" ht="15">
      <c r="B173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zoomScale="85" zoomScaleNormal="85" zoomScaleSheetLayoutView="55" workbookViewId="0" topLeftCell="B1">
      <pane xSplit="4740" ySplit="2736" topLeftCell="X10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13" width="8.7109375" style="69" customWidth="1"/>
    <col min="14" max="14" width="8.7109375" style="69" hidden="1" customWidth="1"/>
    <col min="15" max="24" width="8.7109375" style="69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7.25">
      <c r="B3" s="137" t="s">
        <v>73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">
      <c r="B4" s="69" t="s">
        <v>0</v>
      </c>
      <c r="AA4" s="70" t="s">
        <v>1</v>
      </c>
    </row>
    <row r="5" spans="2:27" ht="69">
      <c r="B5" s="74" t="s">
        <v>2</v>
      </c>
      <c r="C5" s="75" t="s">
        <v>3</v>
      </c>
      <c r="D5" s="76">
        <v>2</v>
      </c>
      <c r="E5" s="74">
        <v>3</v>
      </c>
      <c r="F5" s="74">
        <v>6</v>
      </c>
      <c r="G5" s="74">
        <v>7</v>
      </c>
      <c r="H5" s="74">
        <v>8</v>
      </c>
      <c r="I5" s="74">
        <v>13</v>
      </c>
      <c r="J5" s="77">
        <v>14</v>
      </c>
      <c r="K5" s="74">
        <v>15</v>
      </c>
      <c r="L5" s="74">
        <v>16</v>
      </c>
      <c r="M5" s="74">
        <v>17</v>
      </c>
      <c r="N5" s="74">
        <v>18</v>
      </c>
      <c r="O5" s="74">
        <v>20</v>
      </c>
      <c r="P5" s="74">
        <v>21</v>
      </c>
      <c r="Q5" s="74">
        <v>22</v>
      </c>
      <c r="R5" s="74">
        <v>23</v>
      </c>
      <c r="S5" s="74">
        <v>24</v>
      </c>
      <c r="T5" s="74">
        <v>27</v>
      </c>
      <c r="U5" s="74">
        <v>28</v>
      </c>
      <c r="V5" s="77">
        <v>29</v>
      </c>
      <c r="W5" s="74">
        <v>30</v>
      </c>
      <c r="X5" s="77">
        <v>31</v>
      </c>
      <c r="Y5" s="77"/>
      <c r="Z5" s="77"/>
      <c r="AA5" s="76" t="s">
        <v>4</v>
      </c>
    </row>
    <row r="6" spans="2:27" ht="27">
      <c r="B6" s="78" t="s">
        <v>5</v>
      </c>
      <c r="C6" s="79">
        <f>SUM(D6:Y6)</f>
        <v>135</v>
      </c>
      <c r="D6" s="80">
        <v>59.4</v>
      </c>
      <c r="E6" s="81"/>
      <c r="F6" s="82"/>
      <c r="G6" s="81"/>
      <c r="H6" s="82">
        <v>75.6</v>
      </c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">
      <c r="B7" s="84" t="s">
        <v>6</v>
      </c>
      <c r="C7" s="79">
        <f>SUM(D7:Y7)</f>
        <v>7087.1</v>
      </c>
      <c r="D7" s="85">
        <v>3543.6</v>
      </c>
      <c r="E7" s="81"/>
      <c r="F7" s="81"/>
      <c r="G7" s="81"/>
      <c r="H7" s="81">
        <v>3543.5</v>
      </c>
      <c r="I7" s="81"/>
      <c r="J7" s="86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">
      <c r="B8" s="87" t="s">
        <v>8</v>
      </c>
      <c r="C8" s="88">
        <f aca="true" t="shared" si="0" ref="C8:C16">SUM(D8:Z8)</f>
        <v>20147.2</v>
      </c>
      <c r="D8" s="89">
        <f aca="true" t="shared" si="1" ref="D8:Y8">SUM(D9:D16)</f>
        <v>634.3</v>
      </c>
      <c r="E8" s="89">
        <f t="shared" si="1"/>
        <v>671.8</v>
      </c>
      <c r="F8" s="89">
        <f t="shared" si="1"/>
        <v>976.1</v>
      </c>
      <c r="G8" s="89">
        <f t="shared" si="1"/>
        <v>3020.8000000000006</v>
      </c>
      <c r="H8" s="89">
        <f t="shared" si="1"/>
        <v>1712</v>
      </c>
      <c r="I8" s="89">
        <f>SUM(I9:I16)</f>
        <v>660.2</v>
      </c>
      <c r="J8" s="89">
        <f t="shared" si="1"/>
        <v>768.5</v>
      </c>
      <c r="K8" s="89">
        <f>SUM(K9:K16)</f>
        <v>1230.9</v>
      </c>
      <c r="L8" s="89">
        <f t="shared" si="1"/>
        <v>583.6000000000001</v>
      </c>
      <c r="M8" s="89">
        <f t="shared" si="1"/>
        <v>786.4999999999999</v>
      </c>
      <c r="N8" s="89">
        <f t="shared" si="1"/>
        <v>0</v>
      </c>
      <c r="O8" s="89">
        <f t="shared" si="1"/>
        <v>1066.1000000000001</v>
      </c>
      <c r="P8" s="89">
        <f t="shared" si="1"/>
        <v>1070.8</v>
      </c>
      <c r="Q8" s="89">
        <f t="shared" si="1"/>
        <v>1003.1999999999999</v>
      </c>
      <c r="R8" s="89">
        <f t="shared" si="1"/>
        <v>495.59999999999997</v>
      </c>
      <c r="S8" s="89">
        <f>SUM(S9:S16)</f>
        <v>996.3000000000001</v>
      </c>
      <c r="T8" s="89">
        <f>SUM(T9:T16)</f>
        <v>996.3</v>
      </c>
      <c r="U8" s="89">
        <f t="shared" si="1"/>
        <v>1333.6</v>
      </c>
      <c r="V8" s="89">
        <f t="shared" si="1"/>
        <v>764.7</v>
      </c>
      <c r="W8" s="89">
        <f t="shared" si="1"/>
        <v>687.9000000000001</v>
      </c>
      <c r="X8" s="89">
        <f t="shared" si="1"/>
        <v>688</v>
      </c>
      <c r="Y8" s="89">
        <f t="shared" si="1"/>
        <v>0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">
      <c r="B9" s="27" t="s">
        <v>9</v>
      </c>
      <c r="C9" s="90">
        <f t="shared" si="0"/>
        <v>10676.9</v>
      </c>
      <c r="D9" s="91">
        <v>109.7</v>
      </c>
      <c r="E9" s="86">
        <v>205.1</v>
      </c>
      <c r="F9" s="86">
        <v>813.6</v>
      </c>
      <c r="G9" s="86">
        <v>2576.5</v>
      </c>
      <c r="H9" s="86">
        <v>737.2</v>
      </c>
      <c r="I9" s="86">
        <v>190.6</v>
      </c>
      <c r="J9" s="86">
        <v>339.5</v>
      </c>
      <c r="K9" s="86">
        <v>578.1</v>
      </c>
      <c r="L9" s="86">
        <v>141.9</v>
      </c>
      <c r="M9" s="86">
        <v>143.1</v>
      </c>
      <c r="N9" s="86"/>
      <c r="O9" s="86">
        <v>681.8</v>
      </c>
      <c r="P9" s="86">
        <v>595.9</v>
      </c>
      <c r="Q9" s="86">
        <v>696.4</v>
      </c>
      <c r="R9" s="92">
        <v>301.6</v>
      </c>
      <c r="S9" s="92">
        <v>508</v>
      </c>
      <c r="T9" s="86">
        <v>553.8</v>
      </c>
      <c r="U9" s="92">
        <v>394.7</v>
      </c>
      <c r="V9" s="86">
        <v>426</v>
      </c>
      <c r="W9" s="86">
        <v>252.1</v>
      </c>
      <c r="X9" s="86">
        <v>431.3</v>
      </c>
      <c r="Y9" s="86"/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0.30000000000000004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>
        <v>0.2</v>
      </c>
      <c r="P10" s="86"/>
      <c r="Q10" s="86"/>
      <c r="R10" s="92"/>
      <c r="S10" s="92"/>
      <c r="T10" s="86">
        <v>0.1</v>
      </c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1263.7999999999997</v>
      </c>
      <c r="D11" s="91">
        <v>98.4</v>
      </c>
      <c r="E11" s="86">
        <v>67.7</v>
      </c>
      <c r="F11" s="86">
        <v>62.6</v>
      </c>
      <c r="G11" s="86">
        <v>49.2</v>
      </c>
      <c r="H11" s="86">
        <v>130.4</v>
      </c>
      <c r="I11" s="86">
        <v>26.3</v>
      </c>
      <c r="J11" s="86">
        <v>30.5</v>
      </c>
      <c r="K11" s="86">
        <v>37.6</v>
      </c>
      <c r="L11" s="86">
        <v>22.5</v>
      </c>
      <c r="M11" s="86">
        <v>39.3</v>
      </c>
      <c r="N11" s="86"/>
      <c r="O11" s="86">
        <v>66.7</v>
      </c>
      <c r="P11" s="86">
        <v>19</v>
      </c>
      <c r="Q11" s="86">
        <v>47.4</v>
      </c>
      <c r="R11" s="92">
        <v>49</v>
      </c>
      <c r="S11" s="92">
        <v>39.6</v>
      </c>
      <c r="T11" s="86">
        <v>133.3</v>
      </c>
      <c r="U11" s="92">
        <v>191.3</v>
      </c>
      <c r="V11" s="86">
        <v>56.8</v>
      </c>
      <c r="W11" s="86">
        <v>61.6</v>
      </c>
      <c r="X11" s="86">
        <v>34.6</v>
      </c>
      <c r="Y11" s="86"/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">
      <c r="B12" s="27" t="s">
        <v>12</v>
      </c>
      <c r="C12" s="90">
        <f t="shared" si="0"/>
        <v>1102.3999999999999</v>
      </c>
      <c r="D12" s="91">
        <v>62.4</v>
      </c>
      <c r="E12" s="86">
        <v>53.7</v>
      </c>
      <c r="F12" s="86">
        <v>7.5</v>
      </c>
      <c r="G12" s="86">
        <v>6.8</v>
      </c>
      <c r="H12" s="86">
        <v>71.6</v>
      </c>
      <c r="I12" s="86">
        <v>127.2</v>
      </c>
      <c r="J12" s="86">
        <v>46.5</v>
      </c>
      <c r="K12" s="86">
        <v>70.1</v>
      </c>
      <c r="L12" s="86">
        <v>42.2</v>
      </c>
      <c r="M12" s="86">
        <v>66</v>
      </c>
      <c r="N12" s="86"/>
      <c r="O12" s="86">
        <v>82.1</v>
      </c>
      <c r="P12" s="86">
        <v>62.9</v>
      </c>
      <c r="Q12" s="86">
        <v>61.2</v>
      </c>
      <c r="R12" s="92">
        <v>31.9</v>
      </c>
      <c r="S12" s="92">
        <v>78.9</v>
      </c>
      <c r="T12" s="86">
        <v>32.9</v>
      </c>
      <c r="U12" s="92">
        <v>36.6</v>
      </c>
      <c r="V12" s="86">
        <v>55.1</v>
      </c>
      <c r="W12" s="86">
        <v>39</v>
      </c>
      <c r="X12" s="86">
        <v>67.8</v>
      </c>
      <c r="Y12" s="86"/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">
      <c r="B13" s="27" t="s">
        <v>13</v>
      </c>
      <c r="C13" s="90">
        <f t="shared" si="0"/>
        <v>3394.4</v>
      </c>
      <c r="D13" s="91">
        <v>56</v>
      </c>
      <c r="E13" s="86">
        <v>202.4</v>
      </c>
      <c r="F13" s="86">
        <v>17</v>
      </c>
      <c r="G13" s="86">
        <v>74.3</v>
      </c>
      <c r="H13" s="86">
        <v>277.5</v>
      </c>
      <c r="I13" s="86">
        <v>203.5</v>
      </c>
      <c r="J13" s="86">
        <v>32.2</v>
      </c>
      <c r="K13" s="86">
        <v>81.7</v>
      </c>
      <c r="L13" s="86">
        <v>51.5</v>
      </c>
      <c r="M13" s="86">
        <v>42.8</v>
      </c>
      <c r="N13" s="86"/>
      <c r="O13" s="86">
        <v>43.2</v>
      </c>
      <c r="P13" s="86">
        <v>277.9</v>
      </c>
      <c r="Q13" s="86">
        <v>128.6</v>
      </c>
      <c r="R13" s="92">
        <v>73.2</v>
      </c>
      <c r="S13" s="92">
        <v>315.2</v>
      </c>
      <c r="T13" s="86">
        <v>249</v>
      </c>
      <c r="U13" s="86">
        <v>687.6</v>
      </c>
      <c r="V13" s="86">
        <v>158.3</v>
      </c>
      <c r="W13" s="86">
        <v>308.5</v>
      </c>
      <c r="X13" s="86">
        <v>114</v>
      </c>
      <c r="Y13" s="86"/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">
      <c r="B14" s="27" t="s">
        <v>14</v>
      </c>
      <c r="C14" s="90">
        <f t="shared" si="0"/>
        <v>3020.6</v>
      </c>
      <c r="D14" s="91">
        <v>260.9</v>
      </c>
      <c r="E14" s="86">
        <v>118.7</v>
      </c>
      <c r="F14" s="86">
        <v>54</v>
      </c>
      <c r="G14" s="86">
        <v>295.3</v>
      </c>
      <c r="H14" s="86">
        <v>438.7</v>
      </c>
      <c r="I14" s="86">
        <v>97.9</v>
      </c>
      <c r="J14" s="86">
        <v>224.3</v>
      </c>
      <c r="K14" s="86">
        <v>368.4</v>
      </c>
      <c r="L14" s="86">
        <v>291.8</v>
      </c>
      <c r="M14" s="86">
        <v>474.9</v>
      </c>
      <c r="N14" s="86"/>
      <c r="O14" s="86">
        <v>170.1</v>
      </c>
      <c r="P14" s="86">
        <v>100.5</v>
      </c>
      <c r="Q14" s="86">
        <v>41.8</v>
      </c>
      <c r="R14" s="92">
        <v>7.7</v>
      </c>
      <c r="S14" s="92">
        <v>30.6</v>
      </c>
      <c r="T14" s="86">
        <v>12.5</v>
      </c>
      <c r="U14" s="92">
        <v>5.3</v>
      </c>
      <c r="V14" s="86">
        <v>6.1</v>
      </c>
      <c r="W14" s="86">
        <v>1.7</v>
      </c>
      <c r="X14" s="86">
        <v>19.4</v>
      </c>
      <c r="Y14" s="86"/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241.20000000000005</v>
      </c>
      <c r="D15" s="91">
        <v>8.6</v>
      </c>
      <c r="E15" s="86">
        <v>17.8</v>
      </c>
      <c r="F15" s="86">
        <v>11.1</v>
      </c>
      <c r="G15" s="86">
        <v>9.8</v>
      </c>
      <c r="H15" s="86">
        <v>33.8</v>
      </c>
      <c r="I15" s="86">
        <v>10</v>
      </c>
      <c r="J15" s="86">
        <v>6.4</v>
      </c>
      <c r="K15" s="86">
        <v>12.3</v>
      </c>
      <c r="L15" s="86">
        <v>13.2</v>
      </c>
      <c r="M15" s="86">
        <v>6.6</v>
      </c>
      <c r="N15" s="86"/>
      <c r="O15" s="86">
        <v>13.4</v>
      </c>
      <c r="P15" s="86">
        <v>9.4</v>
      </c>
      <c r="Q15" s="86">
        <v>13.5</v>
      </c>
      <c r="R15" s="92">
        <v>11.3</v>
      </c>
      <c r="S15" s="92">
        <v>15.4</v>
      </c>
      <c r="T15" s="86">
        <v>7.9</v>
      </c>
      <c r="U15" s="92">
        <v>10.5</v>
      </c>
      <c r="V15" s="86">
        <v>10.8</v>
      </c>
      <c r="W15" s="86">
        <v>10.3</v>
      </c>
      <c r="X15" s="86">
        <v>9.1</v>
      </c>
      <c r="Y15" s="86"/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447.6000000000001</v>
      </c>
      <c r="D16" s="91">
        <v>38.3</v>
      </c>
      <c r="E16" s="86">
        <v>6.4</v>
      </c>
      <c r="F16" s="86">
        <v>10.3</v>
      </c>
      <c r="G16" s="86">
        <v>8.9</v>
      </c>
      <c r="H16" s="86">
        <v>22.8</v>
      </c>
      <c r="I16" s="86">
        <v>4.7</v>
      </c>
      <c r="J16" s="86">
        <v>89.1</v>
      </c>
      <c r="K16" s="86">
        <v>82.7</v>
      </c>
      <c r="L16" s="86">
        <v>20.5</v>
      </c>
      <c r="M16" s="86">
        <v>13.8</v>
      </c>
      <c r="N16" s="86"/>
      <c r="O16" s="86">
        <v>8.6</v>
      </c>
      <c r="P16" s="86">
        <v>5.2</v>
      </c>
      <c r="Q16" s="86">
        <v>14.3</v>
      </c>
      <c r="R16" s="92">
        <v>20.9</v>
      </c>
      <c r="S16" s="92">
        <v>8.6</v>
      </c>
      <c r="T16" s="86">
        <v>6.8</v>
      </c>
      <c r="U16" s="92">
        <v>7.6</v>
      </c>
      <c r="V16" s="86">
        <v>51.6</v>
      </c>
      <c r="W16" s="86">
        <v>14.7</v>
      </c>
      <c r="X16" s="92">
        <v>11.8</v>
      </c>
      <c r="Y16" s="86"/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27369.3</v>
      </c>
      <c r="D17" s="101">
        <f>SUM(D6:D8)</f>
        <v>4237.3</v>
      </c>
      <c r="E17" s="101">
        <f aca="true" t="shared" si="2" ref="E17:Y17">SUM(E6:E8)</f>
        <v>671.8</v>
      </c>
      <c r="F17" s="101">
        <f t="shared" si="2"/>
        <v>976.1</v>
      </c>
      <c r="G17" s="101">
        <f t="shared" si="2"/>
        <v>3020.8000000000006</v>
      </c>
      <c r="H17" s="101">
        <f t="shared" si="2"/>
        <v>5331.1</v>
      </c>
      <c r="I17" s="101">
        <f t="shared" si="2"/>
        <v>660.2</v>
      </c>
      <c r="J17" s="101">
        <f t="shared" si="2"/>
        <v>768.5</v>
      </c>
      <c r="K17" s="101">
        <f t="shared" si="2"/>
        <v>1230.9</v>
      </c>
      <c r="L17" s="101">
        <f t="shared" si="2"/>
        <v>583.6000000000001</v>
      </c>
      <c r="M17" s="101">
        <f>SUM(M6:M8)</f>
        <v>786.4999999999999</v>
      </c>
      <c r="N17" s="101">
        <f t="shared" si="2"/>
        <v>0</v>
      </c>
      <c r="O17" s="101">
        <f t="shared" si="2"/>
        <v>1066.1000000000001</v>
      </c>
      <c r="P17" s="101">
        <f t="shared" si="2"/>
        <v>1070.8</v>
      </c>
      <c r="Q17" s="101">
        <f t="shared" si="2"/>
        <v>1003.1999999999999</v>
      </c>
      <c r="R17" s="101">
        <f t="shared" si="2"/>
        <v>495.59999999999997</v>
      </c>
      <c r="S17" s="101">
        <f t="shared" si="2"/>
        <v>996.3000000000001</v>
      </c>
      <c r="T17" s="101">
        <f>SUM(T6:T8)</f>
        <v>996.3</v>
      </c>
      <c r="U17" s="101">
        <f t="shared" si="2"/>
        <v>1333.6</v>
      </c>
      <c r="V17" s="101">
        <f t="shared" si="2"/>
        <v>764.7</v>
      </c>
      <c r="W17" s="101">
        <f t="shared" si="2"/>
        <v>687.9000000000001</v>
      </c>
      <c r="X17" s="101">
        <f t="shared" si="2"/>
        <v>688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">
      <c r="B18" s="102" t="s">
        <v>18</v>
      </c>
      <c r="C18" s="103">
        <f>C19+C23+C29+C32+C33+C34+C35+C41+C45+C49+C52+C57+C63+C70+C75+C76+C80+C31+C66+C74+C72+C73+C77+C78+C79+C69</f>
        <v>35975.543</v>
      </c>
      <c r="D18" s="103">
        <f aca="true" t="shared" si="3" ref="D18:AA18">D19+D23+D29+D32+D33+D34+D35+D41+D45+D49+D52+D57+D63+D70+D75+D76+D80+D31+D66+D74+D72+D73+D77+D78+D79+D69</f>
        <v>0.9</v>
      </c>
      <c r="E18" s="103">
        <f t="shared" si="3"/>
        <v>1665.446</v>
      </c>
      <c r="F18" s="103">
        <f t="shared" si="3"/>
        <v>0</v>
      </c>
      <c r="G18" s="103">
        <f t="shared" si="3"/>
        <v>1367.029</v>
      </c>
      <c r="H18" s="103">
        <f t="shared" si="3"/>
        <v>1311.873</v>
      </c>
      <c r="I18" s="103">
        <f t="shared" si="3"/>
        <v>2651.176</v>
      </c>
      <c r="J18" s="103">
        <f t="shared" si="3"/>
        <v>2171.2119999999995</v>
      </c>
      <c r="K18" s="103">
        <f t="shared" si="3"/>
        <v>537.892</v>
      </c>
      <c r="L18" s="103">
        <f t="shared" si="3"/>
        <v>701.4459999999999</v>
      </c>
      <c r="M18" s="103">
        <f t="shared" si="3"/>
        <v>480.09799999999996</v>
      </c>
      <c r="N18" s="103">
        <f t="shared" si="3"/>
        <v>0</v>
      </c>
      <c r="O18" s="103">
        <f t="shared" si="3"/>
        <v>2581.68</v>
      </c>
      <c r="P18" s="103">
        <f t="shared" si="3"/>
        <v>435.3215</v>
      </c>
      <c r="Q18" s="103">
        <f t="shared" si="3"/>
        <v>1367.673</v>
      </c>
      <c r="R18" s="103">
        <f t="shared" si="3"/>
        <v>4623.774</v>
      </c>
      <c r="S18" s="103">
        <f t="shared" si="3"/>
        <v>6129.238</v>
      </c>
      <c r="T18" s="103">
        <f t="shared" si="3"/>
        <v>1575.784</v>
      </c>
      <c r="U18" s="103">
        <f t="shared" si="3"/>
        <v>263.621</v>
      </c>
      <c r="V18" s="103">
        <f t="shared" si="3"/>
        <v>-0.075</v>
      </c>
      <c r="W18" s="103">
        <f t="shared" si="3"/>
        <v>-0.057</v>
      </c>
      <c r="X18" s="103">
        <f t="shared" si="3"/>
        <v>-1.309</v>
      </c>
      <c r="Y18" s="103">
        <f t="shared" si="3"/>
        <v>0</v>
      </c>
      <c r="Z18" s="103">
        <f t="shared" si="3"/>
        <v>0</v>
      </c>
      <c r="AA18" s="103">
        <f t="shared" si="3"/>
        <v>28901.2345</v>
      </c>
      <c r="AB18" s="104">
        <f aca="true" t="shared" si="4" ref="AB18:AB84">AA18-C18</f>
        <v>-7074.308499999999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">
      <c r="A19" s="66">
        <v>10116</v>
      </c>
      <c r="B19" s="105" t="s">
        <v>19</v>
      </c>
      <c r="C19" s="106">
        <f aca="true" t="shared" si="5" ref="C19:AA19">SUM(C20:C22)</f>
        <v>4469.7119999999995</v>
      </c>
      <c r="D19" s="106">
        <f t="shared" si="5"/>
        <v>0</v>
      </c>
      <c r="E19" s="106">
        <f t="shared" si="5"/>
        <v>0.19</v>
      </c>
      <c r="F19" s="106">
        <f t="shared" si="5"/>
        <v>0</v>
      </c>
      <c r="G19" s="106">
        <f t="shared" si="5"/>
        <v>137.972</v>
      </c>
      <c r="H19" s="106">
        <f t="shared" si="5"/>
        <v>186.53199999999998</v>
      </c>
      <c r="I19" s="106">
        <f t="shared" si="5"/>
        <v>736.736</v>
      </c>
      <c r="J19" s="106">
        <f t="shared" si="5"/>
        <v>208.65599999999998</v>
      </c>
      <c r="K19" s="106">
        <f t="shared" si="5"/>
        <v>84.766</v>
      </c>
      <c r="L19" s="106">
        <f t="shared" si="5"/>
        <v>6.736</v>
      </c>
      <c r="M19" s="106">
        <f t="shared" si="5"/>
        <v>14.929</v>
      </c>
      <c r="N19" s="106">
        <f t="shared" si="5"/>
        <v>0</v>
      </c>
      <c r="O19" s="106">
        <f t="shared" si="5"/>
        <v>106.651</v>
      </c>
      <c r="P19" s="106">
        <f t="shared" si="5"/>
        <v>154.64950000000002</v>
      </c>
      <c r="Q19" s="106">
        <f t="shared" si="5"/>
        <v>14.03</v>
      </c>
      <c r="R19" s="106">
        <f t="shared" si="5"/>
        <v>925.613</v>
      </c>
      <c r="S19" s="106">
        <f t="shared" si="5"/>
        <v>135.615</v>
      </c>
      <c r="T19" s="106">
        <f>SUM(T20:T22)</f>
        <v>438.90299999999996</v>
      </c>
      <c r="U19" s="106">
        <f t="shared" si="5"/>
        <v>97.84</v>
      </c>
      <c r="V19" s="106">
        <f t="shared" si="5"/>
        <v>0</v>
      </c>
      <c r="W19" s="106">
        <f t="shared" si="5"/>
        <v>0</v>
      </c>
      <c r="X19" s="106">
        <f t="shared" si="5"/>
        <v>-1.309</v>
      </c>
      <c r="Y19" s="106">
        <f t="shared" si="5"/>
        <v>0</v>
      </c>
      <c r="Z19" s="106">
        <f>SUM(Z20:Z22)</f>
        <v>0</v>
      </c>
      <c r="AA19" s="106">
        <f t="shared" si="5"/>
        <v>3248.5095</v>
      </c>
      <c r="AB19" s="104">
        <f t="shared" si="4"/>
        <v>-1221.2024999999994</v>
      </c>
      <c r="AD19" s="73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2:33" ht="15">
      <c r="B20" s="107" t="s">
        <v>20</v>
      </c>
      <c r="C20" s="108">
        <f>2952.794+200</f>
        <v>3152.794</v>
      </c>
      <c r="D20" s="81"/>
      <c r="E20" s="81"/>
      <c r="F20" s="81"/>
      <c r="G20" s="81">
        <v>30.935</v>
      </c>
      <c r="H20" s="81">
        <v>178.357</v>
      </c>
      <c r="I20" s="81">
        <v>703.929</v>
      </c>
      <c r="J20" s="86">
        <v>206.92</v>
      </c>
      <c r="K20" s="81"/>
      <c r="L20" s="81"/>
      <c r="M20" s="81">
        <v>10.967</v>
      </c>
      <c r="N20" s="81"/>
      <c r="O20" s="81"/>
      <c r="P20" s="81"/>
      <c r="Q20" s="81"/>
      <c r="R20" s="81">
        <v>901.623</v>
      </c>
      <c r="S20" s="81">
        <v>123.987</v>
      </c>
      <c r="T20" s="81">
        <v>450.397</v>
      </c>
      <c r="U20" s="81">
        <v>97.66</v>
      </c>
      <c r="V20" s="86"/>
      <c r="W20" s="86"/>
      <c r="X20" s="86"/>
      <c r="Y20" s="81"/>
      <c r="Z20" s="81"/>
      <c r="AA20" s="81">
        <f>SUM(D20:Z20)</f>
        <v>2704.775</v>
      </c>
      <c r="AB20" s="104">
        <f t="shared" si="4"/>
        <v>-448.0189999999998</v>
      </c>
      <c r="AC20" s="71"/>
      <c r="AD20" s="67" t="s">
        <v>21</v>
      </c>
      <c r="AE20" s="109">
        <f>AA19</f>
        <v>3248.5095</v>
      </c>
      <c r="AG20" s="72"/>
    </row>
    <row r="21" spans="2:33" ht="15">
      <c r="B21" s="107" t="s">
        <v>22</v>
      </c>
      <c r="C21" s="108">
        <v>330.458</v>
      </c>
      <c r="D21" s="81"/>
      <c r="E21" s="81"/>
      <c r="F21" s="81"/>
      <c r="G21" s="81"/>
      <c r="H21" s="81">
        <v>1.908</v>
      </c>
      <c r="I21" s="81">
        <v>13.193</v>
      </c>
      <c r="J21" s="86"/>
      <c r="K21" s="81"/>
      <c r="L21" s="81"/>
      <c r="M21" s="81">
        <v>3.722</v>
      </c>
      <c r="N21" s="81"/>
      <c r="O21" s="81">
        <v>2.285</v>
      </c>
      <c r="P21" s="81">
        <v>0.0165</v>
      </c>
      <c r="Q21" s="81">
        <v>0.51</v>
      </c>
      <c r="R21" s="81"/>
      <c r="S21" s="81"/>
      <c r="T21" s="81">
        <v>-11.73</v>
      </c>
      <c r="U21" s="81"/>
      <c r="V21" s="86"/>
      <c r="W21" s="86"/>
      <c r="X21" s="86"/>
      <c r="Y21" s="81"/>
      <c r="Z21" s="81"/>
      <c r="AA21" s="81">
        <f>SUM(D21:Z21)</f>
        <v>9.904500000000002</v>
      </c>
      <c r="AB21" s="104">
        <f t="shared" si="4"/>
        <v>-320.55350000000004</v>
      </c>
      <c r="AC21" s="71"/>
      <c r="AD21" s="67" t="s">
        <v>23</v>
      </c>
      <c r="AE21" s="109">
        <f>AA23</f>
        <v>12887.067</v>
      </c>
      <c r="AG21" s="72"/>
    </row>
    <row r="22" spans="2:33" ht="15">
      <c r="B22" s="107" t="s">
        <v>24</v>
      </c>
      <c r="C22" s="108">
        <f>866.46+120</f>
        <v>986.46</v>
      </c>
      <c r="D22" s="81"/>
      <c r="E22" s="81">
        <v>0.19</v>
      </c>
      <c r="F22" s="81"/>
      <c r="G22" s="81">
        <v>107.037</v>
      </c>
      <c r="H22" s="81">
        <v>6.267</v>
      </c>
      <c r="I22" s="81">
        <v>19.614</v>
      </c>
      <c r="J22" s="81">
        <v>1.736</v>
      </c>
      <c r="K22" s="81">
        <v>84.766</v>
      </c>
      <c r="L22" s="81">
        <v>6.736</v>
      </c>
      <c r="M22" s="81">
        <v>0.24</v>
      </c>
      <c r="N22" s="81"/>
      <c r="O22" s="81">
        <v>104.366</v>
      </c>
      <c r="P22" s="81">
        <v>154.633</v>
      </c>
      <c r="Q22" s="81">
        <v>13.52</v>
      </c>
      <c r="R22" s="81">
        <v>23.99</v>
      </c>
      <c r="S22" s="81">
        <v>11.628</v>
      </c>
      <c r="T22" s="81">
        <v>0.236</v>
      </c>
      <c r="U22" s="81">
        <v>0.18</v>
      </c>
      <c r="V22" s="81"/>
      <c r="W22" s="81"/>
      <c r="X22" s="81">
        <v>-1.309</v>
      </c>
      <c r="Y22" s="81"/>
      <c r="Z22" s="81"/>
      <c r="AA22" s="81">
        <f>SUM(D22:Z22)</f>
        <v>533.83</v>
      </c>
      <c r="AB22" s="104">
        <f t="shared" si="4"/>
        <v>-452.63</v>
      </c>
      <c r="AC22" s="71"/>
      <c r="AD22" s="67" t="s">
        <v>25</v>
      </c>
      <c r="AE22" s="109">
        <f>$AA$29+$AA$31</f>
        <v>136.464</v>
      </c>
      <c r="AG22" s="72"/>
    </row>
    <row r="23" spans="1:40" s="66" customFormat="1" ht="15">
      <c r="A23" s="66">
        <v>7000</v>
      </c>
      <c r="B23" s="105" t="s">
        <v>26</v>
      </c>
      <c r="C23" s="106">
        <f aca="true" t="shared" si="6" ref="C23:AA23">SUM(C24:C28)</f>
        <v>20868.03</v>
      </c>
      <c r="D23" s="106">
        <f t="shared" si="6"/>
        <v>0</v>
      </c>
      <c r="E23" s="106">
        <f t="shared" si="6"/>
        <v>92.009</v>
      </c>
      <c r="F23" s="106">
        <f t="shared" si="6"/>
        <v>0</v>
      </c>
      <c r="G23" s="106">
        <f t="shared" si="6"/>
        <v>1051.768</v>
      </c>
      <c r="H23" s="106">
        <f t="shared" si="6"/>
        <v>203.963</v>
      </c>
      <c r="I23" s="106">
        <f t="shared" si="6"/>
        <v>1367.783</v>
      </c>
      <c r="J23" s="106">
        <f t="shared" si="6"/>
        <v>982.135</v>
      </c>
      <c r="K23" s="106">
        <f t="shared" si="6"/>
        <v>45.617999999999995</v>
      </c>
      <c r="L23" s="106">
        <f t="shared" si="6"/>
        <v>0</v>
      </c>
      <c r="M23" s="106">
        <f t="shared" si="6"/>
        <v>254.59199999999998</v>
      </c>
      <c r="N23" s="106">
        <f t="shared" si="6"/>
        <v>0</v>
      </c>
      <c r="O23" s="106">
        <f t="shared" si="6"/>
        <v>1112.5949999999998</v>
      </c>
      <c r="P23" s="106">
        <f t="shared" si="6"/>
        <v>0</v>
      </c>
      <c r="Q23" s="106">
        <f>SUM(Q24:Q28)</f>
        <v>941.113</v>
      </c>
      <c r="R23" s="106">
        <f t="shared" si="6"/>
        <v>1919.925</v>
      </c>
      <c r="S23" s="106">
        <f t="shared" si="6"/>
        <v>4910.118</v>
      </c>
      <c r="T23" s="106">
        <f>SUM(T24:T28)</f>
        <v>1.429</v>
      </c>
      <c r="U23" s="106">
        <f>SUM(U24:U28)</f>
        <v>4.151</v>
      </c>
      <c r="V23" s="106">
        <f t="shared" si="6"/>
        <v>-0.075</v>
      </c>
      <c r="W23" s="106">
        <f t="shared" si="6"/>
        <v>-0.057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12887.067</v>
      </c>
      <c r="AB23" s="104">
        <f t="shared" si="4"/>
        <v>-7980.963</v>
      </c>
      <c r="AC23" s="65"/>
      <c r="AD23" s="67" t="s">
        <v>27</v>
      </c>
      <c r="AE23" s="109">
        <f>$AA$32+$AA$33+$AA$35+$AA$41+$AA$45+$AA$34</f>
        <v>1191.9909999999998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">
      <c r="B24" s="107" t="s">
        <v>20</v>
      </c>
      <c r="C24" s="108">
        <f>16891.885+15.952-139</f>
        <v>16768.837</v>
      </c>
      <c r="D24" s="81"/>
      <c r="E24" s="81">
        <v>6.4</v>
      </c>
      <c r="F24" s="81"/>
      <c r="G24" s="81">
        <f>269.673+669.524+0.876</f>
        <v>940.073</v>
      </c>
      <c r="H24" s="81">
        <v>197.551</v>
      </c>
      <c r="I24" s="81">
        <f>952.135+15.25+289.868</f>
        <v>1257.253</v>
      </c>
      <c r="J24" s="86">
        <f>310.6+435.9</f>
        <v>746.5</v>
      </c>
      <c r="K24" s="81"/>
      <c r="L24" s="81"/>
      <c r="M24" s="81">
        <f>8+16.9</f>
        <v>24.9</v>
      </c>
      <c r="N24" s="81"/>
      <c r="O24" s="81">
        <f>295.78+556.53</f>
        <v>852.31</v>
      </c>
      <c r="P24" s="81"/>
      <c r="Q24" s="81">
        <f>407.727+330.464+4.183</f>
        <v>742.374</v>
      </c>
      <c r="R24" s="110">
        <f>1172.945+651.324+0.797</f>
        <v>1825.0659999999998</v>
      </c>
      <c r="S24" s="81">
        <f>2217.165+45.243+2463.236+8.048</f>
        <v>4733.692</v>
      </c>
      <c r="T24" s="81"/>
      <c r="U24" s="81"/>
      <c r="V24" s="86"/>
      <c r="W24" s="86"/>
      <c r="X24" s="86"/>
      <c r="Y24" s="81"/>
      <c r="Z24" s="81"/>
      <c r="AA24" s="81">
        <f>SUM(D24:Z24)</f>
        <v>11326.118999999999</v>
      </c>
      <c r="AB24" s="104">
        <f t="shared" si="4"/>
        <v>-5442.718000000001</v>
      </c>
      <c r="AC24" s="71"/>
      <c r="AD24" s="67" t="s">
        <v>28</v>
      </c>
      <c r="AE24" s="109">
        <f>$AA$63+$AA$66+AA73</f>
        <v>1759.8120000000001</v>
      </c>
      <c r="AG24" s="72"/>
    </row>
    <row r="25" spans="2:33" ht="15">
      <c r="B25" s="107" t="s">
        <v>29</v>
      </c>
      <c r="C25" s="108">
        <v>16.518</v>
      </c>
      <c r="D25" s="81"/>
      <c r="E25" s="81"/>
      <c r="F25" s="81"/>
      <c r="G25" s="81"/>
      <c r="H25" s="81"/>
      <c r="I25" s="81"/>
      <c r="J25" s="86"/>
      <c r="K25" s="81"/>
      <c r="L25" s="81"/>
      <c r="M25" s="81"/>
      <c r="N25" s="81"/>
      <c r="O25" s="81">
        <v>0.799</v>
      </c>
      <c r="P25" s="81"/>
      <c r="Q25" s="81">
        <v>1.998</v>
      </c>
      <c r="R25" s="110"/>
      <c r="S25" s="81"/>
      <c r="T25" s="81"/>
      <c r="U25" s="81"/>
      <c r="V25" s="86"/>
      <c r="W25" s="86"/>
      <c r="X25" s="86"/>
      <c r="Y25" s="81"/>
      <c r="Z25" s="81"/>
      <c r="AA25" s="81">
        <f>SUM(D25:Z25)</f>
        <v>2.797</v>
      </c>
      <c r="AB25" s="104">
        <f t="shared" si="4"/>
        <v>-13.721</v>
      </c>
      <c r="AC25" s="71"/>
      <c r="AD25" s="67" t="s">
        <v>30</v>
      </c>
      <c r="AE25" s="109">
        <f>$AA$52</f>
        <v>600.3</v>
      </c>
      <c r="AG25" s="72"/>
    </row>
    <row r="26" spans="2:33" ht="15">
      <c r="B26" s="107" t="s">
        <v>31</v>
      </c>
      <c r="C26" s="108">
        <v>822.966</v>
      </c>
      <c r="D26" s="81"/>
      <c r="E26" s="81">
        <v>19.255</v>
      </c>
      <c r="F26" s="81"/>
      <c r="G26" s="81">
        <v>6.104</v>
      </c>
      <c r="H26" s="81"/>
      <c r="I26" s="81">
        <v>52.903</v>
      </c>
      <c r="J26" s="86">
        <v>56.808</v>
      </c>
      <c r="K26" s="81">
        <v>9.106</v>
      </c>
      <c r="L26" s="81"/>
      <c r="M26" s="81">
        <v>110.707</v>
      </c>
      <c r="N26" s="81"/>
      <c r="O26" s="81">
        <v>68.905</v>
      </c>
      <c r="P26" s="81"/>
      <c r="Q26" s="81">
        <v>85.217</v>
      </c>
      <c r="R26" s="110">
        <v>23.506</v>
      </c>
      <c r="S26" s="81">
        <v>67.494</v>
      </c>
      <c r="T26" s="81"/>
      <c r="U26" s="81"/>
      <c r="V26" s="86"/>
      <c r="W26" s="86"/>
      <c r="X26" s="86"/>
      <c r="Y26" s="81"/>
      <c r="Z26" s="81"/>
      <c r="AA26" s="81">
        <f>SUM(D26:Z26)</f>
        <v>500.005</v>
      </c>
      <c r="AB26" s="104">
        <f t="shared" si="4"/>
        <v>-322.961</v>
      </c>
      <c r="AC26" s="71"/>
      <c r="AD26" s="67" t="s">
        <v>32</v>
      </c>
      <c r="AE26" s="109">
        <f>$AA$57</f>
        <v>477.9050000000001</v>
      </c>
      <c r="AG26" s="72"/>
    </row>
    <row r="27" spans="2:33" ht="15">
      <c r="B27" s="107" t="s">
        <v>22</v>
      </c>
      <c r="C27" s="108">
        <f>984.135+139</f>
        <v>1123.135</v>
      </c>
      <c r="D27" s="81"/>
      <c r="E27" s="81">
        <v>35.234</v>
      </c>
      <c r="F27" s="81"/>
      <c r="G27" s="81">
        <v>40.895</v>
      </c>
      <c r="H27" s="81">
        <v>4.958</v>
      </c>
      <c r="I27" s="81">
        <v>27.627</v>
      </c>
      <c r="J27" s="86">
        <v>144.041</v>
      </c>
      <c r="K27" s="81">
        <v>28.328</v>
      </c>
      <c r="L27" s="81"/>
      <c r="M27" s="81">
        <v>58.375</v>
      </c>
      <c r="N27" s="81"/>
      <c r="O27" s="81">
        <v>96.295</v>
      </c>
      <c r="P27" s="81"/>
      <c r="Q27" s="81">
        <v>68.424</v>
      </c>
      <c r="R27" s="110">
        <v>61.133</v>
      </c>
      <c r="S27" s="81">
        <v>46.703</v>
      </c>
      <c r="T27" s="81">
        <v>-0.172</v>
      </c>
      <c r="U27" s="81"/>
      <c r="V27" s="86">
        <v>-0.075</v>
      </c>
      <c r="W27" s="86">
        <v>-0.057</v>
      </c>
      <c r="X27" s="86"/>
      <c r="Y27" s="81"/>
      <c r="Z27" s="81"/>
      <c r="AA27" s="81">
        <f>SUM(D27:Z27)</f>
        <v>611.709</v>
      </c>
      <c r="AB27" s="104">
        <f t="shared" si="4"/>
        <v>-511.42600000000004</v>
      </c>
      <c r="AC27" s="71"/>
      <c r="AD27" s="67" t="s">
        <v>33</v>
      </c>
      <c r="AE27" s="109">
        <f>$AA$49+$AA$70+$AA$75+$AA$76+$AA$80+$AA$72+$AA$74+$AA$77+$AA$78+$AA$79</f>
        <v>7560.673999999999</v>
      </c>
      <c r="AG27" s="72"/>
    </row>
    <row r="28" spans="2:33" ht="15">
      <c r="B28" s="107" t="s">
        <v>24</v>
      </c>
      <c r="C28" s="108">
        <f>1705.501+431.073</f>
        <v>2136.574</v>
      </c>
      <c r="D28" s="81"/>
      <c r="E28" s="81">
        <v>31.12</v>
      </c>
      <c r="F28" s="81"/>
      <c r="G28" s="81">
        <v>64.696</v>
      </c>
      <c r="H28" s="81">
        <v>1.454</v>
      </c>
      <c r="I28" s="81">
        <v>30</v>
      </c>
      <c r="J28" s="81">
        <v>34.786</v>
      </c>
      <c r="K28" s="81">
        <f>6.296+1.888</f>
        <v>8.184000000000001</v>
      </c>
      <c r="L28" s="81"/>
      <c r="M28" s="81">
        <v>60.61</v>
      </c>
      <c r="N28" s="81"/>
      <c r="O28" s="81">
        <f>70.116+24.17</f>
        <v>94.286</v>
      </c>
      <c r="P28" s="81"/>
      <c r="Q28" s="81">
        <f>40.85+2.25</f>
        <v>43.1</v>
      </c>
      <c r="R28" s="81">
        <v>10.22</v>
      </c>
      <c r="S28" s="81">
        <f>38.059+24.17</f>
        <v>62.229</v>
      </c>
      <c r="T28" s="81">
        <v>1.601</v>
      </c>
      <c r="U28" s="81">
        <v>4.151</v>
      </c>
      <c r="V28" s="81"/>
      <c r="W28" s="81"/>
      <c r="X28" s="81"/>
      <c r="Y28" s="81"/>
      <c r="Z28" s="81"/>
      <c r="AA28" s="81">
        <f>SUM(D28:Z28)</f>
        <v>446.437</v>
      </c>
      <c r="AB28" s="104">
        <f t="shared" si="4"/>
        <v>-1690.1370000000002</v>
      </c>
      <c r="AC28" s="71"/>
      <c r="AE28" s="111"/>
      <c r="AG28" s="72"/>
    </row>
    <row r="29" spans="2:33" ht="27.75">
      <c r="B29" s="105" t="s">
        <v>34</v>
      </c>
      <c r="C29" s="106">
        <f>C30</f>
        <v>665.192</v>
      </c>
      <c r="D29" s="106">
        <f aca="true" t="shared" si="7" ref="D29:AA29">D30</f>
        <v>0</v>
      </c>
      <c r="E29" s="106">
        <f t="shared" si="7"/>
        <v>13.874</v>
      </c>
      <c r="F29" s="106">
        <f t="shared" si="7"/>
        <v>0</v>
      </c>
      <c r="G29" s="106">
        <f t="shared" si="7"/>
        <v>11.45</v>
      </c>
      <c r="H29" s="106">
        <f t="shared" si="7"/>
        <v>3.009</v>
      </c>
      <c r="I29" s="106">
        <f t="shared" si="7"/>
        <v>0</v>
      </c>
      <c r="J29" s="106">
        <f t="shared" si="7"/>
        <v>5.116</v>
      </c>
      <c r="K29" s="106">
        <f t="shared" si="7"/>
        <v>47.414</v>
      </c>
      <c r="L29" s="106">
        <f t="shared" si="7"/>
        <v>0</v>
      </c>
      <c r="M29" s="106">
        <f t="shared" si="7"/>
        <v>0.645</v>
      </c>
      <c r="N29" s="106">
        <f t="shared" si="7"/>
        <v>0</v>
      </c>
      <c r="O29" s="106">
        <f t="shared" si="7"/>
        <v>0</v>
      </c>
      <c r="P29" s="106">
        <f t="shared" si="7"/>
        <v>43.20099999999999</v>
      </c>
      <c r="Q29" s="106">
        <f t="shared" si="7"/>
        <v>0</v>
      </c>
      <c r="R29" s="106">
        <f t="shared" si="7"/>
        <v>0.797</v>
      </c>
      <c r="S29" s="106">
        <f t="shared" si="7"/>
        <v>10.958</v>
      </c>
      <c r="T29" s="106">
        <f t="shared" si="7"/>
        <v>0</v>
      </c>
      <c r="U29" s="106">
        <f t="shared" si="7"/>
        <v>0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136.464</v>
      </c>
      <c r="AB29" s="104">
        <f t="shared" si="4"/>
        <v>-528.7280000000001</v>
      </c>
      <c r="AC29" s="71"/>
      <c r="AE29" s="111"/>
      <c r="AG29" s="72"/>
    </row>
    <row r="30" spans="2:31" ht="15">
      <c r="B30" s="112" t="s">
        <v>35</v>
      </c>
      <c r="C30" s="113">
        <f>785.192-120</f>
        <v>665.192</v>
      </c>
      <c r="D30" s="86"/>
      <c r="E30" s="86">
        <v>13.874</v>
      </c>
      <c r="F30" s="86"/>
      <c r="G30" s="86">
        <v>11.45</v>
      </c>
      <c r="H30" s="86">
        <v>3.009</v>
      </c>
      <c r="I30" s="86"/>
      <c r="J30" s="86">
        <v>5.116</v>
      </c>
      <c r="K30" s="86">
        <v>47.414</v>
      </c>
      <c r="L30" s="86"/>
      <c r="M30" s="86">
        <v>0.645</v>
      </c>
      <c r="N30" s="86"/>
      <c r="O30" s="86"/>
      <c r="P30" s="86">
        <f>26.801+16.4</f>
        <v>43.20099999999999</v>
      </c>
      <c r="Q30" s="86"/>
      <c r="R30" s="86">
        <v>0.797</v>
      </c>
      <c r="S30" s="86">
        <v>10.958</v>
      </c>
      <c r="T30" s="86"/>
      <c r="U30" s="86"/>
      <c r="V30" s="86"/>
      <c r="W30" s="86"/>
      <c r="X30" s="86"/>
      <c r="Y30" s="113"/>
      <c r="Z30" s="113"/>
      <c r="AA30" s="81">
        <f>SUM(D30:Z30)</f>
        <v>136.464</v>
      </c>
      <c r="AB30" s="104">
        <f t="shared" si="4"/>
        <v>-528.7280000000001</v>
      </c>
      <c r="AE30" s="111"/>
    </row>
    <row r="31" spans="2:31" ht="42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0</v>
      </c>
      <c r="AE31" s="111"/>
    </row>
    <row r="32" spans="1:40" s="66" customFormat="1" ht="27.75">
      <c r="A32" s="66" t="s">
        <v>37</v>
      </c>
      <c r="B32" s="105" t="s">
        <v>38</v>
      </c>
      <c r="C32" s="106">
        <v>505.447</v>
      </c>
      <c r="D32" s="106"/>
      <c r="E32" s="106">
        <v>2.265</v>
      </c>
      <c r="F32" s="106"/>
      <c r="G32" s="106">
        <v>2.353</v>
      </c>
      <c r="H32" s="106">
        <v>6</v>
      </c>
      <c r="I32" s="106"/>
      <c r="J32" s="106">
        <f>0.55+20.08</f>
        <v>20.63</v>
      </c>
      <c r="K32" s="106"/>
      <c r="L32" s="106">
        <v>132</v>
      </c>
      <c r="M32" s="106">
        <v>0.245</v>
      </c>
      <c r="N32" s="106"/>
      <c r="O32" s="106">
        <v>1</v>
      </c>
      <c r="P32" s="106">
        <v>8.918</v>
      </c>
      <c r="Q32" s="106"/>
      <c r="R32" s="106"/>
      <c r="S32" s="106">
        <v>0.6</v>
      </c>
      <c r="T32" s="106"/>
      <c r="U32" s="114">
        <v>3.937</v>
      </c>
      <c r="V32" s="114"/>
      <c r="W32" s="114"/>
      <c r="X32" s="106"/>
      <c r="Y32" s="106"/>
      <c r="Z32" s="106"/>
      <c r="AA32" s="106">
        <f>SUM(D32:Z32)</f>
        <v>177.948</v>
      </c>
      <c r="AB32" s="104">
        <f t="shared" si="4"/>
        <v>-327.499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2">
      <c r="B33" s="105" t="s">
        <v>39</v>
      </c>
      <c r="C33" s="106">
        <f>532.518-18.545</f>
        <v>513.9730000000001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>
        <v>122.38</v>
      </c>
      <c r="P33" s="106"/>
      <c r="Q33" s="106"/>
      <c r="R33" s="106"/>
      <c r="S33" s="106"/>
      <c r="T33" s="114"/>
      <c r="U33" s="106"/>
      <c r="V33" s="106"/>
      <c r="W33" s="106"/>
      <c r="X33" s="106"/>
      <c r="Y33" s="106"/>
      <c r="Z33" s="106"/>
      <c r="AA33" s="106">
        <f>SUM(D33:Z33)</f>
        <v>122.38</v>
      </c>
      <c r="AB33" s="104">
        <f t="shared" si="4"/>
        <v>-391.5930000000001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42">
      <c r="B34" s="105" t="s">
        <v>41</v>
      </c>
      <c r="C34" s="106">
        <v>63.352</v>
      </c>
      <c r="D34" s="106"/>
      <c r="E34" s="106"/>
      <c r="F34" s="106"/>
      <c r="G34" s="106">
        <v>30.729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30.729</v>
      </c>
      <c r="AB34" s="104">
        <f t="shared" si="4"/>
        <v>-32.623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">
      <c r="B35" s="105" t="s">
        <v>42</v>
      </c>
      <c r="C35" s="106">
        <f>SUM(C36:C40)</f>
        <v>677.165</v>
      </c>
      <c r="D35" s="106">
        <f>SUM(D36:D40)</f>
        <v>0</v>
      </c>
      <c r="E35" s="106">
        <f>SUM(E36:E40)</f>
        <v>0</v>
      </c>
      <c r="F35" s="106">
        <f>SUM(F36:F40)</f>
        <v>0</v>
      </c>
      <c r="G35" s="106">
        <f aca="true" t="shared" si="8" ref="G35:S35">SUM(G36:G40)</f>
        <v>0</v>
      </c>
      <c r="H35" s="106">
        <f t="shared" si="8"/>
        <v>9.276</v>
      </c>
      <c r="I35" s="106">
        <f t="shared" si="8"/>
        <v>0</v>
      </c>
      <c r="J35" s="106">
        <f t="shared" si="8"/>
        <v>152.34099999999998</v>
      </c>
      <c r="K35" s="106">
        <f t="shared" si="8"/>
        <v>0</v>
      </c>
      <c r="L35" s="106">
        <f t="shared" si="8"/>
        <v>3.405</v>
      </c>
      <c r="M35" s="106">
        <f t="shared" si="8"/>
        <v>0</v>
      </c>
      <c r="N35" s="106">
        <f t="shared" si="8"/>
        <v>0</v>
      </c>
      <c r="O35" s="106">
        <f t="shared" si="8"/>
        <v>0</v>
      </c>
      <c r="P35" s="106">
        <f t="shared" si="8"/>
        <v>0</v>
      </c>
      <c r="Q35" s="106">
        <f t="shared" si="8"/>
        <v>0</v>
      </c>
      <c r="R35" s="106">
        <f t="shared" si="8"/>
        <v>0</v>
      </c>
      <c r="S35" s="106">
        <f t="shared" si="8"/>
        <v>0</v>
      </c>
      <c r="T35" s="106">
        <f>SUM(T36:T40)</f>
        <v>498.277</v>
      </c>
      <c r="U35" s="106">
        <f>SUM(U36:U40)</f>
        <v>0</v>
      </c>
      <c r="V35" s="106">
        <f aca="true" t="shared" si="9" ref="V35:AA35">SUM(V36:V40)</f>
        <v>0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663.2989999999999</v>
      </c>
      <c r="AB35" s="104">
        <f t="shared" si="4"/>
        <v>-13.8660000000001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">
      <c r="B36" s="107" t="s">
        <v>20</v>
      </c>
      <c r="C36" s="108">
        <f>608.577+28.145</f>
        <v>636.722</v>
      </c>
      <c r="D36" s="81"/>
      <c r="E36" s="81"/>
      <c r="F36" s="81"/>
      <c r="G36" s="81"/>
      <c r="H36" s="81"/>
      <c r="I36" s="81"/>
      <c r="J36" s="86">
        <v>144.801</v>
      </c>
      <c r="K36" s="81"/>
      <c r="L36" s="81"/>
      <c r="M36" s="81"/>
      <c r="N36" s="81"/>
      <c r="O36" s="81"/>
      <c r="P36" s="110"/>
      <c r="Q36" s="81"/>
      <c r="R36" s="110"/>
      <c r="S36" s="81"/>
      <c r="T36" s="81">
        <v>491.916</v>
      </c>
      <c r="U36" s="81"/>
      <c r="V36" s="86"/>
      <c r="W36" s="86"/>
      <c r="X36" s="81"/>
      <c r="Y36" s="81"/>
      <c r="Z36" s="81"/>
      <c r="AA36" s="81">
        <f>SUM(D36:Z36)</f>
        <v>636.717</v>
      </c>
      <c r="AB36" s="104">
        <f t="shared" si="4"/>
        <v>-0.0049999999999954525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">
      <c r="B37" s="107" t="s">
        <v>29</v>
      </c>
      <c r="C37" s="108">
        <v>2.403</v>
      </c>
      <c r="D37" s="81"/>
      <c r="E37" s="81"/>
      <c r="F37" s="81"/>
      <c r="G37" s="81"/>
      <c r="H37" s="81">
        <v>1.799</v>
      </c>
      <c r="I37" s="81"/>
      <c r="J37" s="86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1.799</v>
      </c>
      <c r="AB37" s="104">
        <f t="shared" si="4"/>
        <v>-0.6040000000000001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/>
      <c r="R38" s="110"/>
      <c r="S38" s="81"/>
      <c r="T38" s="81">
        <v>3.3</v>
      </c>
      <c r="U38" s="81"/>
      <c r="V38" s="86"/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">
      <c r="B39" s="107" t="s">
        <v>22</v>
      </c>
      <c r="C39" s="108">
        <f>25.245-4.6</f>
        <v>20.645000000000003</v>
      </c>
      <c r="D39" s="81"/>
      <c r="E39" s="81"/>
      <c r="F39" s="81"/>
      <c r="G39" s="81"/>
      <c r="H39" s="81">
        <v>6.501</v>
      </c>
      <c r="I39" s="81"/>
      <c r="J39" s="81">
        <v>1.142</v>
      </c>
      <c r="K39" s="81"/>
      <c r="L39" s="81">
        <v>3.405</v>
      </c>
      <c r="M39" s="81"/>
      <c r="N39" s="81"/>
      <c r="O39" s="81"/>
      <c r="P39" s="110"/>
      <c r="Q39" s="81"/>
      <c r="R39" s="110"/>
      <c r="S39" s="81"/>
      <c r="T39" s="81">
        <v>1.52</v>
      </c>
      <c r="U39" s="81"/>
      <c r="V39" s="86"/>
      <c r="W39" s="86"/>
      <c r="X39" s="81"/>
      <c r="Y39" s="81"/>
      <c r="Z39" s="81"/>
      <c r="AA39" s="81">
        <f>SUM(D39:Z39)</f>
        <v>12.568</v>
      </c>
      <c r="AB39" s="104">
        <f t="shared" si="4"/>
        <v>-8.077000000000004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">
      <c r="B40" s="107" t="s">
        <v>24</v>
      </c>
      <c r="C40" s="108">
        <f>19.095-5</f>
        <v>14.094999999999999</v>
      </c>
      <c r="D40" s="81"/>
      <c r="E40" s="81"/>
      <c r="F40" s="81"/>
      <c r="G40" s="81"/>
      <c r="H40" s="81">
        <v>0.976</v>
      </c>
      <c r="I40" s="81"/>
      <c r="J40" s="81">
        <v>6.398</v>
      </c>
      <c r="K40" s="81"/>
      <c r="L40" s="81"/>
      <c r="M40" s="81"/>
      <c r="N40" s="81"/>
      <c r="O40" s="81"/>
      <c r="P40" s="81"/>
      <c r="Q40" s="81"/>
      <c r="R40" s="81"/>
      <c r="S40" s="81"/>
      <c r="T40" s="81">
        <v>1.541</v>
      </c>
      <c r="U40" s="81"/>
      <c r="V40" s="81"/>
      <c r="W40" s="81"/>
      <c r="X40" s="81"/>
      <c r="Y40" s="81"/>
      <c r="Z40" s="81"/>
      <c r="AA40" s="81">
        <f>SUM(D40:Z40)</f>
        <v>8.915</v>
      </c>
      <c r="AB40" s="104">
        <f t="shared" si="4"/>
        <v>-5.18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">
      <c r="B41" s="105" t="s">
        <v>43</v>
      </c>
      <c r="C41" s="106">
        <f aca="true" t="shared" si="10" ref="C41:S41">SUM(C42:C44)</f>
        <v>257.199</v>
      </c>
      <c r="D41" s="106">
        <f t="shared" si="10"/>
        <v>0</v>
      </c>
      <c r="E41" s="106">
        <f t="shared" si="10"/>
        <v>0</v>
      </c>
      <c r="F41" s="106">
        <f t="shared" si="10"/>
        <v>0</v>
      </c>
      <c r="G41" s="106">
        <f t="shared" si="10"/>
        <v>0</v>
      </c>
      <c r="H41" s="106">
        <f t="shared" si="10"/>
        <v>0</v>
      </c>
      <c r="I41" s="106">
        <f t="shared" si="10"/>
        <v>0</v>
      </c>
      <c r="J41" s="106">
        <f t="shared" si="10"/>
        <v>28.407000000000004</v>
      </c>
      <c r="K41" s="106">
        <f t="shared" si="10"/>
        <v>0</v>
      </c>
      <c r="L41" s="106">
        <f t="shared" si="10"/>
        <v>0</v>
      </c>
      <c r="M41" s="106">
        <f t="shared" si="10"/>
        <v>2.396</v>
      </c>
      <c r="N41" s="106">
        <f t="shared" si="10"/>
        <v>0</v>
      </c>
      <c r="O41" s="106">
        <f t="shared" si="10"/>
        <v>0</v>
      </c>
      <c r="P41" s="106">
        <f t="shared" si="10"/>
        <v>0</v>
      </c>
      <c r="Q41" s="106">
        <f t="shared" si="10"/>
        <v>0</v>
      </c>
      <c r="R41" s="106">
        <f t="shared" si="10"/>
        <v>0</v>
      </c>
      <c r="S41" s="106">
        <f t="shared" si="10"/>
        <v>96.091</v>
      </c>
      <c r="T41" s="106">
        <f>SUM(T42:T44)</f>
        <v>0</v>
      </c>
      <c r="U41" s="106">
        <f>SUM(U42:U44)</f>
        <v>0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126.894</v>
      </c>
      <c r="AB41" s="104">
        <f t="shared" si="4"/>
        <v>-130.305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">
      <c r="B42" s="107" t="s">
        <v>20</v>
      </c>
      <c r="C42" s="108">
        <v>229.507</v>
      </c>
      <c r="D42" s="81"/>
      <c r="E42" s="81"/>
      <c r="F42" s="81"/>
      <c r="G42" s="81"/>
      <c r="H42" s="81"/>
      <c r="I42" s="81"/>
      <c r="J42" s="86">
        <v>22.856</v>
      </c>
      <c r="K42" s="81"/>
      <c r="L42" s="81"/>
      <c r="M42" s="81"/>
      <c r="N42" s="81"/>
      <c r="O42" s="81"/>
      <c r="P42" s="110"/>
      <c r="Q42" s="81"/>
      <c r="R42" s="110"/>
      <c r="S42" s="81">
        <v>92.452</v>
      </c>
      <c r="T42" s="81"/>
      <c r="U42" s="81"/>
      <c r="V42" s="86"/>
      <c r="W42" s="86"/>
      <c r="X42" s="81"/>
      <c r="Y42" s="81"/>
      <c r="Z42" s="81"/>
      <c r="AA42" s="81">
        <f>SUM(D42:Z42)</f>
        <v>115.30799999999999</v>
      </c>
      <c r="AB42" s="104">
        <f t="shared" si="4"/>
        <v>-114.19900000000001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">
      <c r="B43" s="107" t="s">
        <v>22</v>
      </c>
      <c r="C43" s="108">
        <v>16.082</v>
      </c>
      <c r="D43" s="81"/>
      <c r="E43" s="81"/>
      <c r="F43" s="81"/>
      <c r="G43" s="81"/>
      <c r="H43" s="81"/>
      <c r="I43" s="81"/>
      <c r="J43" s="86">
        <v>4.335</v>
      </c>
      <c r="K43" s="81"/>
      <c r="L43" s="81"/>
      <c r="M43" s="81">
        <v>1.556</v>
      </c>
      <c r="N43" s="81"/>
      <c r="O43" s="81"/>
      <c r="P43" s="81"/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5.891</v>
      </c>
      <c r="AB43" s="104">
        <f t="shared" si="4"/>
        <v>-10.191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">
      <c r="B44" s="107" t="s">
        <v>24</v>
      </c>
      <c r="C44" s="108">
        <v>11.61</v>
      </c>
      <c r="D44" s="81"/>
      <c r="E44" s="81"/>
      <c r="F44" s="81"/>
      <c r="G44" s="81"/>
      <c r="H44" s="81"/>
      <c r="I44" s="81"/>
      <c r="J44" s="81">
        <v>1.216</v>
      </c>
      <c r="K44" s="81"/>
      <c r="L44" s="81"/>
      <c r="M44" s="81">
        <v>0.84</v>
      </c>
      <c r="N44" s="81"/>
      <c r="O44" s="81"/>
      <c r="P44" s="81"/>
      <c r="Q44" s="81"/>
      <c r="R44" s="81"/>
      <c r="S44" s="81">
        <v>3.639</v>
      </c>
      <c r="T44" s="81"/>
      <c r="U44" s="81"/>
      <c r="V44" s="81"/>
      <c r="W44" s="81"/>
      <c r="X44" s="81"/>
      <c r="Y44" s="81"/>
      <c r="Z44" s="81"/>
      <c r="AA44" s="81">
        <f>SUM(D44:Z44)</f>
        <v>5.695</v>
      </c>
      <c r="AB44" s="104">
        <f t="shared" si="4"/>
        <v>-5.914999999999999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">
      <c r="B45" s="105" t="s">
        <v>44</v>
      </c>
      <c r="C45" s="106">
        <f aca="true" t="shared" si="12" ref="C45:Y45">SUM(C46:C48)</f>
        <v>210.18099999999998</v>
      </c>
      <c r="D45" s="106">
        <f t="shared" si="12"/>
        <v>0</v>
      </c>
      <c r="E45" s="106">
        <f t="shared" si="12"/>
        <v>0</v>
      </c>
      <c r="F45" s="106">
        <f t="shared" si="12"/>
        <v>0</v>
      </c>
      <c r="G45" s="106">
        <f t="shared" si="12"/>
        <v>29.964</v>
      </c>
      <c r="H45" s="106">
        <f t="shared" si="12"/>
        <v>0.949</v>
      </c>
      <c r="I45" s="106">
        <f t="shared" si="12"/>
        <v>0</v>
      </c>
      <c r="J45" s="106">
        <f t="shared" si="12"/>
        <v>0</v>
      </c>
      <c r="K45" s="106">
        <f t="shared" si="12"/>
        <v>0</v>
      </c>
      <c r="L45" s="106">
        <f t="shared" si="12"/>
        <v>0</v>
      </c>
      <c r="M45" s="106">
        <f t="shared" si="12"/>
        <v>6</v>
      </c>
      <c r="N45" s="106">
        <f t="shared" si="12"/>
        <v>0</v>
      </c>
      <c r="O45" s="106">
        <f t="shared" si="12"/>
        <v>0</v>
      </c>
      <c r="P45" s="106">
        <f t="shared" si="12"/>
        <v>33.828</v>
      </c>
      <c r="Q45" s="106">
        <f t="shared" si="12"/>
        <v>0</v>
      </c>
      <c r="R45" s="106">
        <f t="shared" si="12"/>
        <v>0</v>
      </c>
      <c r="S45" s="106">
        <f t="shared" si="12"/>
        <v>0</v>
      </c>
      <c r="T45" s="106">
        <f>SUM(T46:T48)</f>
        <v>0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70.741</v>
      </c>
      <c r="AB45" s="104">
        <f t="shared" si="4"/>
        <v>-139.44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">
      <c r="B46" s="107" t="s">
        <v>20</v>
      </c>
      <c r="C46" s="108">
        <v>195.587</v>
      </c>
      <c r="D46" s="81"/>
      <c r="E46" s="81"/>
      <c r="F46" s="81"/>
      <c r="G46" s="81">
        <v>29.673</v>
      </c>
      <c r="H46" s="81"/>
      <c r="I46" s="81"/>
      <c r="J46" s="86"/>
      <c r="K46" s="81"/>
      <c r="L46" s="81"/>
      <c r="M46" s="81"/>
      <c r="N46" s="81"/>
      <c r="O46" s="81"/>
      <c r="P46" s="81">
        <v>33.828</v>
      </c>
      <c r="Q46" s="81"/>
      <c r="R46" s="110"/>
      <c r="S46" s="81"/>
      <c r="T46" s="81"/>
      <c r="U46" s="81"/>
      <c r="V46" s="86"/>
      <c r="W46" s="86"/>
      <c r="X46" s="86"/>
      <c r="Y46" s="86"/>
      <c r="Z46" s="86"/>
      <c r="AA46" s="81">
        <f>SUM(D46:Z46)</f>
        <v>63.501000000000005</v>
      </c>
      <c r="AB46" s="104">
        <f t="shared" si="4"/>
        <v>-132.08599999999998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">
      <c r="B47" s="107" t="s">
        <v>22</v>
      </c>
      <c r="C47" s="108">
        <v>4.95</v>
      </c>
      <c r="D47" s="81"/>
      <c r="E47" s="81"/>
      <c r="F47" s="81"/>
      <c r="G47" s="81"/>
      <c r="H47" s="81">
        <v>0.949</v>
      </c>
      <c r="I47" s="81"/>
      <c r="J47" s="86"/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0.949</v>
      </c>
      <c r="AB47" s="104">
        <f t="shared" si="4"/>
        <v>-4.001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">
      <c r="B48" s="107" t="s">
        <v>24</v>
      </c>
      <c r="C48" s="108">
        <v>9.644</v>
      </c>
      <c r="D48" s="81"/>
      <c r="E48" s="81"/>
      <c r="F48" s="81"/>
      <c r="G48" s="81">
        <v>0.291</v>
      </c>
      <c r="H48" s="81"/>
      <c r="I48" s="81"/>
      <c r="J48" s="81"/>
      <c r="K48" s="81"/>
      <c r="L48" s="81"/>
      <c r="M48" s="81">
        <v>6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6.291</v>
      </c>
      <c r="AB48" s="104">
        <f t="shared" si="4"/>
        <v>-3.3529999999999998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">
      <c r="A49" s="66">
        <v>90501</v>
      </c>
      <c r="B49" s="105" t="s">
        <v>45</v>
      </c>
      <c r="C49" s="106">
        <f>C50+C51</f>
        <v>46.072</v>
      </c>
      <c r="D49" s="106">
        <f aca="true" t="shared" si="13" ref="D49:Y49">D50+D51</f>
        <v>0</v>
      </c>
      <c r="E49" s="106">
        <f t="shared" si="13"/>
        <v>0</v>
      </c>
      <c r="F49" s="106">
        <f t="shared" si="13"/>
        <v>0</v>
      </c>
      <c r="G49" s="106">
        <f t="shared" si="13"/>
        <v>17.206</v>
      </c>
      <c r="H49" s="106">
        <f t="shared" si="13"/>
        <v>0</v>
      </c>
      <c r="I49" s="106">
        <f t="shared" si="13"/>
        <v>0</v>
      </c>
      <c r="J49" s="106">
        <f t="shared" si="13"/>
        <v>2.8</v>
      </c>
      <c r="K49" s="106">
        <f t="shared" si="13"/>
        <v>0</v>
      </c>
      <c r="L49" s="106">
        <f t="shared" si="13"/>
        <v>0</v>
      </c>
      <c r="M49" s="106">
        <f t="shared" si="13"/>
        <v>0</v>
      </c>
      <c r="N49" s="106">
        <f t="shared" si="13"/>
        <v>0</v>
      </c>
      <c r="O49" s="106">
        <f t="shared" si="13"/>
        <v>0</v>
      </c>
      <c r="P49" s="106">
        <f t="shared" si="13"/>
        <v>0</v>
      </c>
      <c r="Q49" s="106">
        <f t="shared" si="13"/>
        <v>0</v>
      </c>
      <c r="R49" s="106">
        <f t="shared" si="13"/>
        <v>0</v>
      </c>
      <c r="S49" s="106">
        <f t="shared" si="13"/>
        <v>0</v>
      </c>
      <c r="T49" s="106">
        <f>T50+T51</f>
        <v>7.59</v>
      </c>
      <c r="U49" s="106">
        <f>U50+U51</f>
        <v>0</v>
      </c>
      <c r="V49" s="106">
        <f t="shared" si="13"/>
        <v>0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27.596</v>
      </c>
      <c r="AB49" s="104">
        <f t="shared" si="4"/>
        <v>-18.476000000000003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">
      <c r="B50" s="107" t="s">
        <v>20</v>
      </c>
      <c r="C50" s="113">
        <v>22.74</v>
      </c>
      <c r="D50" s="86"/>
      <c r="E50" s="86"/>
      <c r="F50" s="86"/>
      <c r="G50" s="86"/>
      <c r="H50" s="86"/>
      <c r="I50" s="86"/>
      <c r="J50" s="86">
        <v>2.8</v>
      </c>
      <c r="K50" s="86"/>
      <c r="L50" s="86"/>
      <c r="M50" s="86"/>
      <c r="N50" s="86"/>
      <c r="O50" s="86"/>
      <c r="P50" s="86"/>
      <c r="Q50" s="86"/>
      <c r="R50" s="86"/>
      <c r="S50" s="86"/>
      <c r="T50" s="86">
        <v>7.59</v>
      </c>
      <c r="U50" s="86"/>
      <c r="V50" s="86"/>
      <c r="W50" s="86"/>
      <c r="X50" s="86"/>
      <c r="Y50" s="86"/>
      <c r="Z50" s="86"/>
      <c r="AA50" s="81">
        <f>SUM(D50:Z50)</f>
        <v>10.39</v>
      </c>
      <c r="AB50" s="104">
        <f t="shared" si="4"/>
        <v>-12.349999999999998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">
      <c r="B51" s="107" t="s">
        <v>35</v>
      </c>
      <c r="C51" s="113">
        <v>23.332</v>
      </c>
      <c r="D51" s="86"/>
      <c r="E51" s="86"/>
      <c r="F51" s="86"/>
      <c r="G51" s="86">
        <v>17.206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17.206</v>
      </c>
      <c r="AB51" s="104">
        <f t="shared" si="4"/>
        <v>-6.126000000000001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">
      <c r="A52" s="66">
        <v>110000</v>
      </c>
      <c r="B52" s="105" t="s">
        <v>46</v>
      </c>
      <c r="C52" s="106">
        <f aca="true" t="shared" si="14" ref="C52:AA52">SUM(C53:C56)</f>
        <v>950.549</v>
      </c>
      <c r="D52" s="106">
        <f t="shared" si="14"/>
        <v>0.9</v>
      </c>
      <c r="E52" s="106">
        <f t="shared" si="14"/>
        <v>0.06</v>
      </c>
      <c r="F52" s="106">
        <f t="shared" si="14"/>
        <v>0</v>
      </c>
      <c r="G52" s="106">
        <f t="shared" si="14"/>
        <v>2.3</v>
      </c>
      <c r="H52" s="106">
        <f t="shared" si="14"/>
        <v>0</v>
      </c>
      <c r="I52" s="106">
        <f t="shared" si="14"/>
        <v>171.784</v>
      </c>
      <c r="J52" s="106">
        <f t="shared" si="14"/>
        <v>8.071</v>
      </c>
      <c r="K52" s="106">
        <f t="shared" si="14"/>
        <v>0</v>
      </c>
      <c r="L52" s="106">
        <f t="shared" si="14"/>
        <v>3.7</v>
      </c>
      <c r="M52" s="106">
        <f t="shared" si="14"/>
        <v>0</v>
      </c>
      <c r="N52" s="106">
        <f t="shared" si="14"/>
        <v>0</v>
      </c>
      <c r="O52" s="106">
        <f t="shared" si="14"/>
        <v>74.109</v>
      </c>
      <c r="P52" s="106">
        <f t="shared" si="14"/>
        <v>25.5</v>
      </c>
      <c r="Q52" s="106">
        <f t="shared" si="14"/>
        <v>8.5</v>
      </c>
      <c r="R52" s="106">
        <f t="shared" si="14"/>
        <v>144.519</v>
      </c>
      <c r="S52" s="106">
        <f t="shared" si="14"/>
        <v>160.857</v>
      </c>
      <c r="T52" s="106">
        <f>SUM(T53:T56)</f>
        <v>0</v>
      </c>
      <c r="U52" s="106">
        <f t="shared" si="14"/>
        <v>0</v>
      </c>
      <c r="V52" s="106">
        <f t="shared" si="14"/>
        <v>0</v>
      </c>
      <c r="W52" s="106">
        <f t="shared" si="14"/>
        <v>0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600.3</v>
      </c>
      <c r="AB52" s="104">
        <f t="shared" si="4"/>
        <v>-350.249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">
      <c r="B53" s="107" t="s">
        <v>20</v>
      </c>
      <c r="C53" s="108">
        <v>563.959</v>
      </c>
      <c r="D53" s="81"/>
      <c r="E53" s="81"/>
      <c r="F53" s="81"/>
      <c r="G53" s="81"/>
      <c r="H53" s="81"/>
      <c r="I53" s="81">
        <v>137.302</v>
      </c>
      <c r="J53" s="86"/>
      <c r="K53" s="81"/>
      <c r="L53" s="81"/>
      <c r="M53" s="81"/>
      <c r="N53" s="81"/>
      <c r="O53" s="81"/>
      <c r="P53" s="110"/>
      <c r="Q53" s="81"/>
      <c r="R53" s="110">
        <v>144.519</v>
      </c>
      <c r="S53" s="81">
        <v>160.754</v>
      </c>
      <c r="T53" s="81"/>
      <c r="U53" s="81"/>
      <c r="V53" s="86"/>
      <c r="W53" s="86"/>
      <c r="X53" s="86"/>
      <c r="Y53" s="81"/>
      <c r="Z53" s="81"/>
      <c r="AA53" s="81">
        <f>SUM(D53:Z53)</f>
        <v>442.57500000000005</v>
      </c>
      <c r="AB53" s="104">
        <f t="shared" si="4"/>
        <v>-121.3839999999999</v>
      </c>
    </row>
    <row r="54" spans="2:28" ht="15">
      <c r="B54" s="107" t="s">
        <v>22</v>
      </c>
      <c r="C54" s="108">
        <f>93.804+0.3</f>
        <v>94.104</v>
      </c>
      <c r="D54" s="81"/>
      <c r="E54" s="81"/>
      <c r="F54" s="81"/>
      <c r="G54" s="81"/>
      <c r="H54" s="81"/>
      <c r="I54" s="81">
        <v>11.346</v>
      </c>
      <c r="J54" s="86">
        <v>8.071</v>
      </c>
      <c r="K54" s="81"/>
      <c r="L54" s="81"/>
      <c r="M54" s="81"/>
      <c r="N54" s="81"/>
      <c r="O54" s="81">
        <v>3.887</v>
      </c>
      <c r="P54" s="110"/>
      <c r="Q54" s="81"/>
      <c r="R54" s="110"/>
      <c r="S54" s="81"/>
      <c r="T54" s="81"/>
      <c r="U54" s="81"/>
      <c r="V54" s="86"/>
      <c r="W54" s="86"/>
      <c r="X54" s="86"/>
      <c r="Y54" s="81"/>
      <c r="Z54" s="81"/>
      <c r="AA54" s="81">
        <f>SUM(D54:Z54)</f>
        <v>23.304000000000002</v>
      </c>
      <c r="AB54" s="104">
        <f t="shared" si="4"/>
        <v>-70.8</v>
      </c>
    </row>
    <row r="55" spans="2:28" ht="15">
      <c r="B55" s="107" t="s">
        <v>47</v>
      </c>
      <c r="C55" s="108">
        <v>6.62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/>
      <c r="V55" s="86"/>
      <c r="W55" s="86"/>
      <c r="X55" s="86"/>
      <c r="Y55" s="81"/>
      <c r="Z55" s="81"/>
      <c r="AA55" s="81">
        <f>SUM(D55:Z55)</f>
        <v>0</v>
      </c>
      <c r="AB55" s="104">
        <f t="shared" si="4"/>
        <v>-6.62</v>
      </c>
    </row>
    <row r="56" spans="2:29" ht="15">
      <c r="B56" s="107" t="s">
        <v>24</v>
      </c>
      <c r="C56" s="108">
        <f>286.166-0.3</f>
        <v>285.866</v>
      </c>
      <c r="D56" s="81">
        <v>0.9</v>
      </c>
      <c r="E56" s="81">
        <v>0.06</v>
      </c>
      <c r="F56" s="81"/>
      <c r="G56" s="81">
        <v>2.3</v>
      </c>
      <c r="H56" s="81"/>
      <c r="I56" s="81">
        <v>23.136</v>
      </c>
      <c r="J56" s="81"/>
      <c r="K56" s="81"/>
      <c r="L56" s="81">
        <v>3.7</v>
      </c>
      <c r="M56" s="81"/>
      <c r="N56" s="81"/>
      <c r="O56" s="81">
        <v>70.222</v>
      </c>
      <c r="P56" s="81">
        <v>25.5</v>
      </c>
      <c r="Q56" s="81">
        <v>8.5</v>
      </c>
      <c r="R56" s="81"/>
      <c r="S56" s="81">
        <v>0.103</v>
      </c>
      <c r="T56" s="81"/>
      <c r="U56" s="81"/>
      <c r="V56" s="81"/>
      <c r="W56" s="81"/>
      <c r="X56" s="81"/>
      <c r="Y56" s="81"/>
      <c r="Z56" s="81"/>
      <c r="AA56" s="81">
        <f>SUM(D56:Z56)</f>
        <v>134.421</v>
      </c>
      <c r="AB56" s="104">
        <f t="shared" si="4"/>
        <v>-151.445</v>
      </c>
      <c r="AC56" s="66"/>
    </row>
    <row r="57" spans="1:40" s="66" customFormat="1" ht="15">
      <c r="A57" s="66">
        <v>130000</v>
      </c>
      <c r="B57" s="105" t="s">
        <v>48</v>
      </c>
      <c r="C57" s="106">
        <f>SUM(C58:C62)</f>
        <v>760.954</v>
      </c>
      <c r="D57" s="106">
        <f aca="true" t="shared" si="15" ref="D57:AA57">SUM(D58:D62)</f>
        <v>0</v>
      </c>
      <c r="E57" s="106">
        <f t="shared" si="15"/>
        <v>0</v>
      </c>
      <c r="F57" s="106">
        <f t="shared" si="15"/>
        <v>0</v>
      </c>
      <c r="G57" s="106">
        <f t="shared" si="15"/>
        <v>7.907</v>
      </c>
      <c r="H57" s="106">
        <f t="shared" si="15"/>
        <v>0</v>
      </c>
      <c r="I57" s="106">
        <f t="shared" si="15"/>
        <v>111.444</v>
      </c>
      <c r="J57" s="106">
        <f t="shared" si="15"/>
        <v>14.003</v>
      </c>
      <c r="K57" s="106">
        <f t="shared" si="15"/>
        <v>0</v>
      </c>
      <c r="L57" s="106">
        <f t="shared" si="15"/>
        <v>0</v>
      </c>
      <c r="M57" s="106">
        <f t="shared" si="15"/>
        <v>8.14</v>
      </c>
      <c r="N57" s="106">
        <f t="shared" si="15"/>
        <v>0</v>
      </c>
      <c r="O57" s="106">
        <f t="shared" si="15"/>
        <v>18.855</v>
      </c>
      <c r="P57" s="106">
        <f t="shared" si="15"/>
        <v>0</v>
      </c>
      <c r="Q57" s="106">
        <f t="shared" si="15"/>
        <v>14.895</v>
      </c>
      <c r="R57" s="106">
        <f t="shared" si="15"/>
        <v>13.436</v>
      </c>
      <c r="S57" s="106">
        <f t="shared" si="15"/>
        <v>0</v>
      </c>
      <c r="T57" s="106">
        <f>SUM(T58:T62)</f>
        <v>271.74500000000006</v>
      </c>
      <c r="U57" s="106">
        <f>SUM(U58:U62)</f>
        <v>17.48</v>
      </c>
      <c r="V57" s="106">
        <f t="shared" si="15"/>
        <v>0</v>
      </c>
      <c r="W57" s="106">
        <f t="shared" si="15"/>
        <v>0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477.9050000000001</v>
      </c>
      <c r="AB57" s="104">
        <f t="shared" si="4"/>
        <v>-283.04899999999986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">
      <c r="B58" s="107" t="s">
        <v>20</v>
      </c>
      <c r="C58" s="108">
        <v>442.07</v>
      </c>
      <c r="D58" s="81"/>
      <c r="E58" s="81"/>
      <c r="F58" s="81"/>
      <c r="G58" s="81"/>
      <c r="H58" s="81"/>
      <c r="I58" s="81">
        <v>97.07</v>
      </c>
      <c r="J58" s="110"/>
      <c r="K58" s="81"/>
      <c r="L58" s="81"/>
      <c r="M58" s="81"/>
      <c r="N58" s="81"/>
      <c r="O58" s="81"/>
      <c r="P58" s="110"/>
      <c r="Q58" s="81"/>
      <c r="R58" s="110"/>
      <c r="S58" s="81"/>
      <c r="T58" s="81">
        <v>258.713</v>
      </c>
      <c r="U58" s="81">
        <v>17.48</v>
      </c>
      <c r="V58" s="86"/>
      <c r="W58" s="86"/>
      <c r="X58" s="81"/>
      <c r="Y58" s="81"/>
      <c r="Z58" s="81"/>
      <c r="AA58" s="81">
        <f>SUM(D58:Z58)</f>
        <v>373.26300000000003</v>
      </c>
      <c r="AB58" s="104">
        <f t="shared" si="4"/>
        <v>-68.80699999999996</v>
      </c>
    </row>
    <row r="59" spans="2:28" ht="15">
      <c r="B59" s="107" t="s">
        <v>29</v>
      </c>
      <c r="C59" s="108">
        <v>0.5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>
        <v>0.5</v>
      </c>
      <c r="U59" s="81"/>
      <c r="V59" s="86"/>
      <c r="W59" s="86"/>
      <c r="X59" s="81"/>
      <c r="Y59" s="81"/>
      <c r="Z59" s="81"/>
      <c r="AA59" s="81">
        <f>SUM(D59:Z59)</f>
        <v>0.5</v>
      </c>
      <c r="AB59" s="104">
        <f t="shared" si="4"/>
        <v>0</v>
      </c>
    </row>
    <row r="60" spans="2:28" ht="15">
      <c r="B60" s="107" t="s">
        <v>22</v>
      </c>
      <c r="C60" s="108">
        <v>38.554</v>
      </c>
      <c r="D60" s="81"/>
      <c r="E60" s="81"/>
      <c r="F60" s="81"/>
      <c r="G60" s="81"/>
      <c r="H60" s="81"/>
      <c r="I60" s="81">
        <v>1.385</v>
      </c>
      <c r="J60" s="86"/>
      <c r="K60" s="81"/>
      <c r="L60" s="81"/>
      <c r="M60" s="81">
        <v>4.187</v>
      </c>
      <c r="N60" s="81"/>
      <c r="O60" s="81"/>
      <c r="P60" s="110"/>
      <c r="Q60" s="81"/>
      <c r="R60" s="81"/>
      <c r="S60" s="81"/>
      <c r="T60" s="81">
        <v>0.576</v>
      </c>
      <c r="U60" s="81"/>
      <c r="V60" s="86"/>
      <c r="W60" s="86"/>
      <c r="X60" s="81"/>
      <c r="Y60" s="81"/>
      <c r="Z60" s="81"/>
      <c r="AA60" s="81">
        <f>SUM(D60:Z60)</f>
        <v>6.148</v>
      </c>
      <c r="AB60" s="104">
        <f t="shared" si="4"/>
        <v>-32.406000000000006</v>
      </c>
    </row>
    <row r="61" spans="2:28" ht="15">
      <c r="B61" s="107" t="s">
        <v>35</v>
      </c>
      <c r="C61" s="108">
        <v>61.761</v>
      </c>
      <c r="D61" s="81"/>
      <c r="E61" s="81"/>
      <c r="F61" s="81"/>
      <c r="G61" s="81">
        <v>7.907</v>
      </c>
      <c r="H61" s="81"/>
      <c r="I61" s="81"/>
      <c r="J61" s="86"/>
      <c r="K61" s="81"/>
      <c r="L61" s="81"/>
      <c r="M61" s="81"/>
      <c r="N61" s="81"/>
      <c r="O61" s="81"/>
      <c r="P61" s="81"/>
      <c r="Q61" s="81">
        <v>14.895</v>
      </c>
      <c r="R61" s="81">
        <v>3.536</v>
      </c>
      <c r="S61" s="81"/>
      <c r="T61" s="81"/>
      <c r="U61" s="81"/>
      <c r="V61" s="86"/>
      <c r="W61" s="81"/>
      <c r="X61" s="86"/>
      <c r="Y61" s="86"/>
      <c r="Z61" s="86"/>
      <c r="AA61" s="81">
        <f>SUM(D61:Z61)</f>
        <v>26.338</v>
      </c>
      <c r="AB61" s="104">
        <f t="shared" si="4"/>
        <v>-35.423</v>
      </c>
    </row>
    <row r="62" spans="2:28" ht="15">
      <c r="B62" s="107" t="s">
        <v>24</v>
      </c>
      <c r="C62" s="108">
        <v>218.069</v>
      </c>
      <c r="D62" s="81"/>
      <c r="E62" s="81"/>
      <c r="F62" s="81"/>
      <c r="G62" s="81"/>
      <c r="H62" s="81"/>
      <c r="I62" s="81">
        <v>12.989</v>
      </c>
      <c r="J62" s="81">
        <v>14.003</v>
      </c>
      <c r="K62" s="81"/>
      <c r="L62" s="81"/>
      <c r="M62" s="81">
        <v>3.953</v>
      </c>
      <c r="N62" s="81"/>
      <c r="O62" s="81">
        <v>18.855</v>
      </c>
      <c r="P62" s="81"/>
      <c r="Q62" s="81"/>
      <c r="R62" s="81">
        <v>9.9</v>
      </c>
      <c r="S62" s="81"/>
      <c r="T62" s="81">
        <v>11.956</v>
      </c>
      <c r="U62" s="81"/>
      <c r="V62" s="81"/>
      <c r="W62" s="81"/>
      <c r="X62" s="81"/>
      <c r="Y62" s="81"/>
      <c r="Z62" s="81"/>
      <c r="AA62" s="81">
        <f>SUM(D62:Z62)</f>
        <v>71.65599999999999</v>
      </c>
      <c r="AB62" s="104">
        <f t="shared" si="4"/>
        <v>-146.413</v>
      </c>
    </row>
    <row r="63" spans="2:28" ht="15">
      <c r="B63" s="105" t="s">
        <v>50</v>
      </c>
      <c r="C63" s="106">
        <f>C64+C65</f>
        <v>4108.48</v>
      </c>
      <c r="D63" s="106">
        <f aca="true" t="shared" si="16" ref="D63:AA63">D64+D65</f>
        <v>0</v>
      </c>
      <c r="E63" s="106">
        <f t="shared" si="16"/>
        <v>0</v>
      </c>
      <c r="F63" s="106">
        <f t="shared" si="16"/>
        <v>0</v>
      </c>
      <c r="G63" s="106">
        <f t="shared" si="16"/>
        <v>0</v>
      </c>
      <c r="H63" s="106">
        <f t="shared" si="16"/>
        <v>751.635</v>
      </c>
      <c r="I63" s="106">
        <f t="shared" si="16"/>
        <v>105.297</v>
      </c>
      <c r="J63" s="106">
        <f t="shared" si="16"/>
        <v>103.828</v>
      </c>
      <c r="K63" s="106">
        <f t="shared" si="16"/>
        <v>0</v>
      </c>
      <c r="L63" s="106">
        <f t="shared" si="16"/>
        <v>0</v>
      </c>
      <c r="M63" s="106">
        <f t="shared" si="16"/>
        <v>0</v>
      </c>
      <c r="N63" s="106">
        <f t="shared" si="16"/>
        <v>0</v>
      </c>
      <c r="O63" s="106">
        <f t="shared" si="16"/>
        <v>498.567</v>
      </c>
      <c r="P63" s="106">
        <f t="shared" si="16"/>
        <v>0</v>
      </c>
      <c r="Q63" s="106">
        <f t="shared" si="16"/>
        <v>17.281</v>
      </c>
      <c r="R63" s="106">
        <f t="shared" si="16"/>
        <v>0</v>
      </c>
      <c r="S63" s="106">
        <f t="shared" si="16"/>
        <v>0</v>
      </c>
      <c r="T63" s="106">
        <f>T64+T65</f>
        <v>242.824</v>
      </c>
      <c r="U63" s="106">
        <f t="shared" si="16"/>
        <v>0.38</v>
      </c>
      <c r="V63" s="106">
        <f t="shared" si="16"/>
        <v>0</v>
      </c>
      <c r="W63" s="106">
        <f t="shared" si="16"/>
        <v>0</v>
      </c>
      <c r="X63" s="106">
        <f t="shared" si="16"/>
        <v>0</v>
      </c>
      <c r="Y63" s="106">
        <f t="shared" si="16"/>
        <v>0</v>
      </c>
      <c r="Z63" s="106">
        <f>Z64+Z65</f>
        <v>0</v>
      </c>
      <c r="AA63" s="106">
        <f t="shared" si="16"/>
        <v>1719.8120000000001</v>
      </c>
      <c r="AB63" s="104">
        <f t="shared" si="4"/>
        <v>-2388.6679999999997</v>
      </c>
    </row>
    <row r="64" spans="2:28" ht="15">
      <c r="B64" s="118" t="s">
        <v>51</v>
      </c>
      <c r="C64" s="113">
        <f>297.858-233</f>
        <v>64.858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0</v>
      </c>
      <c r="AB64" s="104">
        <f t="shared" si="4"/>
        <v>-64.858</v>
      </c>
    </row>
    <row r="65" spans="2:28" ht="15">
      <c r="B65" s="118" t="s">
        <v>35</v>
      </c>
      <c r="C65" s="113">
        <v>4043.622</v>
      </c>
      <c r="D65" s="86"/>
      <c r="E65" s="86"/>
      <c r="F65" s="86"/>
      <c r="G65" s="86"/>
      <c r="H65" s="86">
        <v>751.635</v>
      </c>
      <c r="I65" s="86">
        <v>105.297</v>
      </c>
      <c r="J65" s="86">
        <v>103.828</v>
      </c>
      <c r="K65" s="86"/>
      <c r="L65" s="86"/>
      <c r="M65" s="86"/>
      <c r="N65" s="86"/>
      <c r="O65" s="86">
        <v>498.567</v>
      </c>
      <c r="P65" s="86"/>
      <c r="Q65" s="86">
        <v>17.281</v>
      </c>
      <c r="R65" s="86"/>
      <c r="S65" s="86"/>
      <c r="T65" s="86">
        <v>242.824</v>
      </c>
      <c r="U65" s="86">
        <v>0.38</v>
      </c>
      <c r="V65" s="86"/>
      <c r="W65" s="86"/>
      <c r="X65" s="86"/>
      <c r="Y65" s="86"/>
      <c r="Z65" s="86"/>
      <c r="AA65" s="86">
        <f>SUM(D65:Z65)</f>
        <v>1719.8120000000001</v>
      </c>
      <c r="AB65" s="104">
        <f t="shared" si="4"/>
        <v>-2323.8099999999995</v>
      </c>
    </row>
    <row r="66" spans="2:28" ht="15">
      <c r="B66" s="105" t="s">
        <v>52</v>
      </c>
      <c r="C66" s="106">
        <f>C67+C68</f>
        <v>83.954</v>
      </c>
      <c r="D66" s="106">
        <f aca="true" t="shared" si="17" ref="D66:AA66">D67+D68</f>
        <v>0</v>
      </c>
      <c r="E66" s="106">
        <f t="shared" si="17"/>
        <v>0</v>
      </c>
      <c r="F66" s="106">
        <f t="shared" si="17"/>
        <v>0</v>
      </c>
      <c r="G66" s="106">
        <f t="shared" si="17"/>
        <v>0</v>
      </c>
      <c r="H66" s="106">
        <f t="shared" si="17"/>
        <v>0</v>
      </c>
      <c r="I66" s="106">
        <f t="shared" si="17"/>
        <v>40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40</v>
      </c>
      <c r="AB66" s="104">
        <f t="shared" si="4"/>
        <v>-43.95399999999999</v>
      </c>
    </row>
    <row r="67" spans="2:28" ht="15">
      <c r="B67" s="107" t="s">
        <v>22</v>
      </c>
      <c r="C67" s="113">
        <v>14.734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0</v>
      </c>
      <c r="AB67" s="104">
        <f t="shared" si="4"/>
        <v>-14.734</v>
      </c>
    </row>
    <row r="68" spans="2:28" ht="15">
      <c r="B68" s="107" t="s">
        <v>35</v>
      </c>
      <c r="C68" s="113">
        <v>69.22</v>
      </c>
      <c r="D68" s="86"/>
      <c r="E68" s="86"/>
      <c r="F68" s="86"/>
      <c r="G68" s="86"/>
      <c r="H68" s="86"/>
      <c r="I68" s="86">
        <v>40</v>
      </c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40</v>
      </c>
      <c r="AB68" s="104">
        <f t="shared" si="4"/>
        <v>-29.22</v>
      </c>
    </row>
    <row r="69" spans="2:28" ht="45" customHeight="1" hidden="1">
      <c r="B69" s="119" t="s">
        <v>53</v>
      </c>
      <c r="C69" s="106">
        <f>200-200</f>
        <v>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 aca="true" t="shared" si="18" ref="D69:AA70">AA70</f>
        <v>1038.512</v>
      </c>
      <c r="AB69" s="104">
        <f t="shared" si="4"/>
        <v>1038.512</v>
      </c>
    </row>
    <row r="70" spans="1:29" ht="15">
      <c r="A70" s="66">
        <v>170703</v>
      </c>
      <c r="B70" s="105" t="s">
        <v>54</v>
      </c>
      <c r="C70" s="106">
        <f>C71</f>
        <v>1070.203</v>
      </c>
      <c r="D70" s="106">
        <f t="shared" si="18"/>
        <v>0</v>
      </c>
      <c r="E70" s="106">
        <f t="shared" si="18"/>
        <v>0</v>
      </c>
      <c r="F70" s="106">
        <f t="shared" si="18"/>
        <v>0</v>
      </c>
      <c r="G70" s="106">
        <f t="shared" si="18"/>
        <v>20.288</v>
      </c>
      <c r="H70" s="106">
        <f t="shared" si="18"/>
        <v>150.509</v>
      </c>
      <c r="I70" s="106">
        <f t="shared" si="18"/>
        <v>69.991</v>
      </c>
      <c r="J70" s="106">
        <f t="shared" si="18"/>
        <v>0</v>
      </c>
      <c r="K70" s="106">
        <f t="shared" si="18"/>
        <v>0</v>
      </c>
      <c r="L70" s="106">
        <f t="shared" si="18"/>
        <v>54.768</v>
      </c>
      <c r="M70" s="106">
        <f t="shared" si="18"/>
        <v>193.151</v>
      </c>
      <c r="N70" s="106">
        <f t="shared" si="18"/>
        <v>0</v>
      </c>
      <c r="O70" s="106">
        <f t="shared" si="18"/>
        <v>0</v>
      </c>
      <c r="P70" s="106">
        <f t="shared" si="18"/>
        <v>0</v>
      </c>
      <c r="Q70" s="106">
        <f t="shared" si="18"/>
        <v>0</v>
      </c>
      <c r="R70" s="106">
        <f t="shared" si="18"/>
        <v>335.45</v>
      </c>
      <c r="S70" s="106">
        <f t="shared" si="18"/>
        <v>214.355</v>
      </c>
      <c r="T70" s="106">
        <f t="shared" si="18"/>
        <v>0</v>
      </c>
      <c r="U70" s="106">
        <f t="shared" si="18"/>
        <v>0</v>
      </c>
      <c r="V70" s="106">
        <f t="shared" si="18"/>
        <v>0</v>
      </c>
      <c r="W70" s="106">
        <f t="shared" si="18"/>
        <v>0</v>
      </c>
      <c r="X70" s="106">
        <f t="shared" si="18"/>
        <v>0</v>
      </c>
      <c r="Y70" s="106">
        <f t="shared" si="18"/>
        <v>0</v>
      </c>
      <c r="Z70" s="106">
        <f t="shared" si="18"/>
        <v>0</v>
      </c>
      <c r="AA70" s="106">
        <f t="shared" si="18"/>
        <v>1038.512</v>
      </c>
      <c r="AB70" s="104">
        <f t="shared" si="4"/>
        <v>-31.69100000000003</v>
      </c>
      <c r="AC70" s="94"/>
    </row>
    <row r="71" spans="2:40" s="94" customFormat="1" ht="15">
      <c r="B71" s="118" t="s">
        <v>51</v>
      </c>
      <c r="C71" s="113">
        <f>837.203+233</f>
        <v>1070.203</v>
      </c>
      <c r="D71" s="86"/>
      <c r="E71" s="86"/>
      <c r="F71" s="86"/>
      <c r="G71" s="86">
        <v>20.288</v>
      </c>
      <c r="H71" s="86">
        <v>150.509</v>
      </c>
      <c r="I71" s="86">
        <v>69.991</v>
      </c>
      <c r="J71" s="86"/>
      <c r="K71" s="86"/>
      <c r="L71" s="86">
        <v>54.768</v>
      </c>
      <c r="M71" s="86">
        <v>193.151</v>
      </c>
      <c r="N71" s="86"/>
      <c r="O71" s="86"/>
      <c r="P71" s="86"/>
      <c r="Q71" s="86"/>
      <c r="R71" s="86">
        <v>335.45</v>
      </c>
      <c r="S71" s="86">
        <v>214.355</v>
      </c>
      <c r="T71" s="86"/>
      <c r="U71" s="86"/>
      <c r="V71" s="86"/>
      <c r="W71" s="86"/>
      <c r="X71" s="86"/>
      <c r="Y71" s="86"/>
      <c r="Z71" s="86"/>
      <c r="AA71" s="86">
        <f aca="true" t="shared" si="19" ref="AA71:AA80">SUM(D71:Z71)</f>
        <v>1038.512</v>
      </c>
      <c r="AB71" s="104">
        <f t="shared" si="4"/>
        <v>-31.69100000000003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7">
      <c r="B72" s="119" t="s">
        <v>55</v>
      </c>
      <c r="C72" s="106">
        <v>10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0</v>
      </c>
      <c r="AB72" s="104">
        <f t="shared" si="4"/>
        <v>-10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15">
      <c r="B73" s="119" t="s">
        <v>56</v>
      </c>
      <c r="C73" s="106">
        <v>279.678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0</v>
      </c>
      <c r="AB73" s="104">
        <f t="shared" si="4"/>
        <v>-279.678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">
      <c r="B74" s="119" t="s">
        <v>57</v>
      </c>
      <c r="C74" s="106">
        <v>16.182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</v>
      </c>
      <c r="AB74" s="104">
        <f t="shared" si="4"/>
        <v>-16.182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15">
      <c r="B75" s="119" t="s">
        <v>58</v>
      </c>
      <c r="C75" s="106">
        <v>281.528</v>
      </c>
      <c r="D75" s="106"/>
      <c r="E75" s="106"/>
      <c r="F75" s="106"/>
      <c r="G75" s="106"/>
      <c r="H75" s="106"/>
      <c r="I75" s="106"/>
      <c r="J75" s="106">
        <v>0.373</v>
      </c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0.373</v>
      </c>
      <c r="AB75" s="104">
        <f t="shared" si="4"/>
        <v>-281.15500000000003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1:40" s="66" customFormat="1" ht="15">
      <c r="A76" s="66">
        <v>250102</v>
      </c>
      <c r="B76" s="105" t="s">
        <v>59</v>
      </c>
      <c r="C76" s="106">
        <v>83.75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0</v>
      </c>
      <c r="AB76" s="104">
        <f t="shared" si="4"/>
        <v>-83.75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55.5">
      <c r="B77" s="105" t="s">
        <v>60</v>
      </c>
      <c r="C77" s="106">
        <v>47.942</v>
      </c>
      <c r="D77" s="106"/>
      <c r="E77" s="106"/>
      <c r="F77" s="106"/>
      <c r="G77" s="106"/>
      <c r="H77" s="106"/>
      <c r="I77" s="106"/>
      <c r="J77" s="106">
        <v>47.942</v>
      </c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19"/>
        <v>47.942</v>
      </c>
      <c r="AB77" s="104">
        <f t="shared" si="4"/>
        <v>0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71.25" customHeight="1" hidden="1">
      <c r="B78" s="105" t="s">
        <v>61</v>
      </c>
      <c r="C78" s="106">
        <v>0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19"/>
        <v>0</v>
      </c>
      <c r="AB78" s="104">
        <f t="shared" si="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55.5">
      <c r="B79" s="105" t="s">
        <v>62</v>
      </c>
      <c r="C79" s="106">
        <v>6</v>
      </c>
      <c r="D79" s="106"/>
      <c r="E79" s="106">
        <v>6</v>
      </c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19"/>
        <v>6</v>
      </c>
      <c r="AB79" s="104">
        <f t="shared" si="4"/>
        <v>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42">
      <c r="B80" s="105" t="s">
        <v>63</v>
      </c>
      <c r="C80" s="106">
        <v>0</v>
      </c>
      <c r="D80" s="106"/>
      <c r="E80" s="106">
        <v>1551.048</v>
      </c>
      <c r="F80" s="106"/>
      <c r="G80" s="106">
        <v>55.092</v>
      </c>
      <c r="H80" s="106"/>
      <c r="I80" s="106">
        <v>48.141</v>
      </c>
      <c r="J80" s="106">
        <v>596.91</v>
      </c>
      <c r="K80" s="106">
        <v>360.094</v>
      </c>
      <c r="L80" s="106">
        <f>8.837+492</f>
        <v>500.837</v>
      </c>
      <c r="M80" s="106"/>
      <c r="N80" s="106"/>
      <c r="O80" s="106">
        <v>647.523</v>
      </c>
      <c r="P80" s="106">
        <v>169.225</v>
      </c>
      <c r="Q80" s="106">
        <v>371.854</v>
      </c>
      <c r="R80" s="106">
        <v>1284.034</v>
      </c>
      <c r="S80" s="106">
        <v>600.644</v>
      </c>
      <c r="T80" s="106">
        <v>115.016</v>
      </c>
      <c r="U80" s="106">
        <v>139.833</v>
      </c>
      <c r="V80" s="106"/>
      <c r="W80" s="106"/>
      <c r="X80" s="106"/>
      <c r="Y80" s="106"/>
      <c r="Z80" s="106"/>
      <c r="AA80" s="106">
        <f t="shared" si="19"/>
        <v>6440.250999999999</v>
      </c>
      <c r="AB80" s="104">
        <f t="shared" si="4"/>
        <v>6440.250999999999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15">
      <c r="B81" s="120" t="s">
        <v>64</v>
      </c>
      <c r="C81" s="121">
        <f>SUM(C82:C88)</f>
        <v>35975.543</v>
      </c>
      <c r="D81" s="121">
        <f aca="true" t="shared" si="20" ref="D81:AA81">SUM(D82:D88)</f>
        <v>0.9</v>
      </c>
      <c r="E81" s="121">
        <f t="shared" si="20"/>
        <v>1665.446</v>
      </c>
      <c r="F81" s="121">
        <f t="shared" si="20"/>
        <v>0</v>
      </c>
      <c r="G81" s="121">
        <f t="shared" si="20"/>
        <v>1367.0290000000002</v>
      </c>
      <c r="H81" s="121">
        <f t="shared" si="20"/>
        <v>1311.8729999999998</v>
      </c>
      <c r="I81" s="121">
        <f t="shared" si="20"/>
        <v>2651.176</v>
      </c>
      <c r="J81" s="121">
        <f t="shared" si="20"/>
        <v>2171.2119999999995</v>
      </c>
      <c r="K81" s="121">
        <f t="shared" si="20"/>
        <v>537.8919999999999</v>
      </c>
      <c r="L81" s="121">
        <f t="shared" si="20"/>
        <v>701.4459999999999</v>
      </c>
      <c r="M81" s="121">
        <f t="shared" si="20"/>
        <v>480.09799999999996</v>
      </c>
      <c r="N81" s="121">
        <f t="shared" si="20"/>
        <v>0</v>
      </c>
      <c r="O81" s="121">
        <f t="shared" si="20"/>
        <v>2581.6800000000003</v>
      </c>
      <c r="P81" s="121">
        <f t="shared" si="20"/>
        <v>435.3215</v>
      </c>
      <c r="Q81" s="121">
        <f t="shared" si="20"/>
        <v>1367.673</v>
      </c>
      <c r="R81" s="121">
        <f t="shared" si="20"/>
        <v>4623.773999999999</v>
      </c>
      <c r="S81" s="121">
        <f t="shared" si="20"/>
        <v>6129.238</v>
      </c>
      <c r="T81" s="121">
        <f>SUM(T82:T88)</f>
        <v>1575.7839999999999</v>
      </c>
      <c r="U81" s="121">
        <f t="shared" si="20"/>
        <v>263.621</v>
      </c>
      <c r="V81" s="121">
        <f t="shared" si="20"/>
        <v>-0.075</v>
      </c>
      <c r="W81" s="121">
        <f t="shared" si="20"/>
        <v>-0.057</v>
      </c>
      <c r="X81" s="121">
        <f t="shared" si="20"/>
        <v>-1.309</v>
      </c>
      <c r="Y81" s="121">
        <f t="shared" si="20"/>
        <v>0</v>
      </c>
      <c r="Z81" s="121">
        <f t="shared" si="20"/>
        <v>0</v>
      </c>
      <c r="AA81" s="121">
        <f t="shared" si="20"/>
        <v>28901.2345</v>
      </c>
      <c r="AB81" s="104">
        <f t="shared" si="4"/>
        <v>-7074.308499999999</v>
      </c>
      <c r="AC81" s="69"/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1:40" s="72" customFormat="1" ht="15">
      <c r="A82" s="69"/>
      <c r="B82" s="107" t="s">
        <v>20</v>
      </c>
      <c r="C82" s="108">
        <f aca="true" t="shared" si="21" ref="C82:AA82">C20+C36+C42+C46+C50+C53+C58+C24</f>
        <v>22012.216</v>
      </c>
      <c r="D82" s="108">
        <f t="shared" si="21"/>
        <v>0</v>
      </c>
      <c r="E82" s="108">
        <f t="shared" si="21"/>
        <v>6.4</v>
      </c>
      <c r="F82" s="108">
        <f t="shared" si="21"/>
        <v>0</v>
      </c>
      <c r="G82" s="108">
        <f t="shared" si="21"/>
        <v>1000.6809999999999</v>
      </c>
      <c r="H82" s="108">
        <f t="shared" si="21"/>
        <v>375.908</v>
      </c>
      <c r="I82" s="108">
        <f t="shared" si="21"/>
        <v>2195.554</v>
      </c>
      <c r="J82" s="108">
        <f t="shared" si="21"/>
        <v>1123.877</v>
      </c>
      <c r="K82" s="108">
        <f t="shared" si="21"/>
        <v>0</v>
      </c>
      <c r="L82" s="108">
        <f t="shared" si="21"/>
        <v>0</v>
      </c>
      <c r="M82" s="108">
        <f t="shared" si="21"/>
        <v>35.867</v>
      </c>
      <c r="N82" s="108">
        <f t="shared" si="21"/>
        <v>0</v>
      </c>
      <c r="O82" s="108">
        <f t="shared" si="21"/>
        <v>852.31</v>
      </c>
      <c r="P82" s="108">
        <f t="shared" si="21"/>
        <v>33.828</v>
      </c>
      <c r="Q82" s="108">
        <f t="shared" si="21"/>
        <v>742.374</v>
      </c>
      <c r="R82" s="108">
        <f t="shared" si="21"/>
        <v>2871.2079999999996</v>
      </c>
      <c r="S82" s="108">
        <f t="shared" si="21"/>
        <v>5110.885</v>
      </c>
      <c r="T82" s="108">
        <f t="shared" si="21"/>
        <v>1208.616</v>
      </c>
      <c r="U82" s="108">
        <f t="shared" si="21"/>
        <v>115.14</v>
      </c>
      <c r="V82" s="108">
        <f t="shared" si="21"/>
        <v>0</v>
      </c>
      <c r="W82" s="108">
        <f t="shared" si="21"/>
        <v>0</v>
      </c>
      <c r="X82" s="108">
        <f t="shared" si="21"/>
        <v>0</v>
      </c>
      <c r="Y82" s="108">
        <f t="shared" si="21"/>
        <v>0</v>
      </c>
      <c r="Z82" s="108">
        <f t="shared" si="21"/>
        <v>0</v>
      </c>
      <c r="AA82" s="108">
        <f t="shared" si="21"/>
        <v>15672.648</v>
      </c>
      <c r="AB82" s="104">
        <f t="shared" si="4"/>
        <v>-6339.568000000001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">
      <c r="A83" s="69"/>
      <c r="B83" s="107" t="s">
        <v>29</v>
      </c>
      <c r="C83" s="108">
        <f aca="true" t="shared" si="22" ref="C83:AA83">C25+C37+C59</f>
        <v>19.421</v>
      </c>
      <c r="D83" s="108">
        <f t="shared" si="22"/>
        <v>0</v>
      </c>
      <c r="E83" s="108">
        <f t="shared" si="22"/>
        <v>0</v>
      </c>
      <c r="F83" s="108">
        <f t="shared" si="22"/>
        <v>0</v>
      </c>
      <c r="G83" s="108">
        <f t="shared" si="22"/>
        <v>0</v>
      </c>
      <c r="H83" s="108">
        <f t="shared" si="22"/>
        <v>1.799</v>
      </c>
      <c r="I83" s="108">
        <f t="shared" si="22"/>
        <v>0</v>
      </c>
      <c r="J83" s="108">
        <f t="shared" si="22"/>
        <v>0</v>
      </c>
      <c r="K83" s="108">
        <f t="shared" si="22"/>
        <v>0</v>
      </c>
      <c r="L83" s="108">
        <f t="shared" si="22"/>
        <v>0</v>
      </c>
      <c r="M83" s="108">
        <f t="shared" si="22"/>
        <v>0</v>
      </c>
      <c r="N83" s="108">
        <f t="shared" si="22"/>
        <v>0</v>
      </c>
      <c r="O83" s="108">
        <f t="shared" si="22"/>
        <v>0.799</v>
      </c>
      <c r="P83" s="108">
        <f t="shared" si="22"/>
        <v>0</v>
      </c>
      <c r="Q83" s="108">
        <f t="shared" si="22"/>
        <v>1.998</v>
      </c>
      <c r="R83" s="108">
        <f t="shared" si="22"/>
        <v>0</v>
      </c>
      <c r="S83" s="108">
        <f t="shared" si="22"/>
        <v>0</v>
      </c>
      <c r="T83" s="108">
        <f t="shared" si="22"/>
        <v>0.5</v>
      </c>
      <c r="U83" s="108">
        <f t="shared" si="22"/>
        <v>0</v>
      </c>
      <c r="V83" s="108">
        <f t="shared" si="22"/>
        <v>0</v>
      </c>
      <c r="W83" s="108">
        <f t="shared" si="22"/>
        <v>0</v>
      </c>
      <c r="X83" s="108">
        <f t="shared" si="22"/>
        <v>0</v>
      </c>
      <c r="Y83" s="108">
        <f t="shared" si="22"/>
        <v>0</v>
      </c>
      <c r="Z83" s="108">
        <f t="shared" si="22"/>
        <v>0</v>
      </c>
      <c r="AA83" s="108">
        <f t="shared" si="22"/>
        <v>5.096</v>
      </c>
      <c r="AB83" s="104">
        <f t="shared" si="4"/>
        <v>-14.325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">
      <c r="A84" s="69"/>
      <c r="B84" s="107" t="s">
        <v>31</v>
      </c>
      <c r="C84" s="108">
        <f aca="true" t="shared" si="23" ref="C84:AA84">C26+C38</f>
        <v>826.266</v>
      </c>
      <c r="D84" s="108">
        <f t="shared" si="23"/>
        <v>0</v>
      </c>
      <c r="E84" s="108">
        <f t="shared" si="23"/>
        <v>19.255</v>
      </c>
      <c r="F84" s="108">
        <f t="shared" si="23"/>
        <v>0</v>
      </c>
      <c r="G84" s="108">
        <f t="shared" si="23"/>
        <v>6.104</v>
      </c>
      <c r="H84" s="108">
        <f t="shared" si="23"/>
        <v>0</v>
      </c>
      <c r="I84" s="108">
        <f t="shared" si="23"/>
        <v>52.903</v>
      </c>
      <c r="J84" s="108">
        <f t="shared" si="23"/>
        <v>56.808</v>
      </c>
      <c r="K84" s="108">
        <f t="shared" si="23"/>
        <v>9.106</v>
      </c>
      <c r="L84" s="108">
        <f t="shared" si="23"/>
        <v>0</v>
      </c>
      <c r="M84" s="108">
        <f t="shared" si="23"/>
        <v>110.707</v>
      </c>
      <c r="N84" s="108">
        <f t="shared" si="23"/>
        <v>0</v>
      </c>
      <c r="O84" s="108">
        <f t="shared" si="23"/>
        <v>68.905</v>
      </c>
      <c r="P84" s="108">
        <f t="shared" si="23"/>
        <v>0</v>
      </c>
      <c r="Q84" s="108">
        <f t="shared" si="23"/>
        <v>85.217</v>
      </c>
      <c r="R84" s="108">
        <f t="shared" si="23"/>
        <v>23.506</v>
      </c>
      <c r="S84" s="108">
        <f t="shared" si="23"/>
        <v>67.494</v>
      </c>
      <c r="T84" s="108">
        <f t="shared" si="23"/>
        <v>3.3</v>
      </c>
      <c r="U84" s="108">
        <f t="shared" si="23"/>
        <v>0</v>
      </c>
      <c r="V84" s="108">
        <f t="shared" si="23"/>
        <v>0</v>
      </c>
      <c r="W84" s="108">
        <f t="shared" si="23"/>
        <v>0</v>
      </c>
      <c r="X84" s="108">
        <f t="shared" si="23"/>
        <v>0</v>
      </c>
      <c r="Y84" s="108">
        <f t="shared" si="23"/>
        <v>0</v>
      </c>
      <c r="Z84" s="108">
        <f t="shared" si="23"/>
        <v>0</v>
      </c>
      <c r="AA84" s="108">
        <f t="shared" si="23"/>
        <v>503.305</v>
      </c>
      <c r="AB84" s="104">
        <f t="shared" si="4"/>
        <v>-322.96099999999996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">
      <c r="A85" s="69"/>
      <c r="B85" s="107" t="s">
        <v>22</v>
      </c>
      <c r="C85" s="108">
        <f aca="true" t="shared" si="24" ref="C85:AA85">C21+C27+C39+C43+C47+C54+C60+C67</f>
        <v>1642.6620000000003</v>
      </c>
      <c r="D85" s="108">
        <f t="shared" si="24"/>
        <v>0</v>
      </c>
      <c r="E85" s="108">
        <f t="shared" si="24"/>
        <v>35.234</v>
      </c>
      <c r="F85" s="108">
        <f t="shared" si="24"/>
        <v>0</v>
      </c>
      <c r="G85" s="108">
        <f t="shared" si="24"/>
        <v>40.895</v>
      </c>
      <c r="H85" s="108">
        <f t="shared" si="24"/>
        <v>14.316</v>
      </c>
      <c r="I85" s="108">
        <f t="shared" si="24"/>
        <v>53.550999999999995</v>
      </c>
      <c r="J85" s="108">
        <f t="shared" si="24"/>
        <v>157.589</v>
      </c>
      <c r="K85" s="108">
        <f t="shared" si="24"/>
        <v>28.328</v>
      </c>
      <c r="L85" s="108">
        <f t="shared" si="24"/>
        <v>3.405</v>
      </c>
      <c r="M85" s="108">
        <f t="shared" si="24"/>
        <v>67.84</v>
      </c>
      <c r="N85" s="108">
        <f t="shared" si="24"/>
        <v>0</v>
      </c>
      <c r="O85" s="108">
        <f t="shared" si="24"/>
        <v>102.467</v>
      </c>
      <c r="P85" s="108">
        <f t="shared" si="24"/>
        <v>0.0165</v>
      </c>
      <c r="Q85" s="108">
        <f t="shared" si="24"/>
        <v>68.93400000000001</v>
      </c>
      <c r="R85" s="108">
        <f t="shared" si="24"/>
        <v>61.133</v>
      </c>
      <c r="S85" s="108">
        <f t="shared" si="24"/>
        <v>46.703</v>
      </c>
      <c r="T85" s="108">
        <f t="shared" si="24"/>
        <v>-9.806000000000001</v>
      </c>
      <c r="U85" s="108">
        <f t="shared" si="24"/>
        <v>0</v>
      </c>
      <c r="V85" s="108">
        <f t="shared" si="24"/>
        <v>-0.075</v>
      </c>
      <c r="W85" s="108">
        <f t="shared" si="24"/>
        <v>-0.057</v>
      </c>
      <c r="X85" s="108">
        <f t="shared" si="24"/>
        <v>0</v>
      </c>
      <c r="Y85" s="108">
        <f t="shared" si="24"/>
        <v>0</v>
      </c>
      <c r="Z85" s="108">
        <f t="shared" si="24"/>
        <v>0</v>
      </c>
      <c r="AA85" s="108">
        <f t="shared" si="24"/>
        <v>670.4734999999998</v>
      </c>
      <c r="AB85" s="104">
        <f>AA85-C85</f>
        <v>-972.1885000000004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">
      <c r="A86" s="69"/>
      <c r="B86" s="107" t="s">
        <v>47</v>
      </c>
      <c r="C86" s="108">
        <f aca="true" t="shared" si="25" ref="C86:AA86">C55+C73</f>
        <v>286.298</v>
      </c>
      <c r="D86" s="108">
        <f t="shared" si="25"/>
        <v>0</v>
      </c>
      <c r="E86" s="108">
        <f t="shared" si="25"/>
        <v>0</v>
      </c>
      <c r="F86" s="108">
        <f t="shared" si="25"/>
        <v>0</v>
      </c>
      <c r="G86" s="108">
        <f t="shared" si="25"/>
        <v>0</v>
      </c>
      <c r="H86" s="108">
        <f t="shared" si="25"/>
        <v>0</v>
      </c>
      <c r="I86" s="108">
        <f t="shared" si="25"/>
        <v>0</v>
      </c>
      <c r="J86" s="108">
        <f t="shared" si="25"/>
        <v>0</v>
      </c>
      <c r="K86" s="108">
        <f t="shared" si="25"/>
        <v>0</v>
      </c>
      <c r="L86" s="108">
        <f t="shared" si="25"/>
        <v>0</v>
      </c>
      <c r="M86" s="108">
        <f t="shared" si="25"/>
        <v>0</v>
      </c>
      <c r="N86" s="108">
        <f t="shared" si="25"/>
        <v>0</v>
      </c>
      <c r="O86" s="108">
        <f t="shared" si="25"/>
        <v>0</v>
      </c>
      <c r="P86" s="108">
        <f t="shared" si="25"/>
        <v>0</v>
      </c>
      <c r="Q86" s="108">
        <f t="shared" si="25"/>
        <v>0</v>
      </c>
      <c r="R86" s="108">
        <f t="shared" si="25"/>
        <v>0</v>
      </c>
      <c r="S86" s="108">
        <f t="shared" si="25"/>
        <v>0</v>
      </c>
      <c r="T86" s="108">
        <f t="shared" si="25"/>
        <v>0</v>
      </c>
      <c r="U86" s="108">
        <f t="shared" si="25"/>
        <v>0</v>
      </c>
      <c r="V86" s="108">
        <f t="shared" si="25"/>
        <v>0</v>
      </c>
      <c r="W86" s="108">
        <f t="shared" si="25"/>
        <v>0</v>
      </c>
      <c r="X86" s="108">
        <f t="shared" si="25"/>
        <v>0</v>
      </c>
      <c r="Y86" s="108">
        <f t="shared" si="25"/>
        <v>0</v>
      </c>
      <c r="Z86" s="108">
        <f t="shared" si="25"/>
        <v>0</v>
      </c>
      <c r="AA86" s="108">
        <f t="shared" si="25"/>
        <v>0</v>
      </c>
      <c r="AB86" s="104">
        <f>AA86-C86</f>
        <v>-286.298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">
      <c r="A87" s="69"/>
      <c r="B87" s="107" t="s">
        <v>35</v>
      </c>
      <c r="C87" s="108">
        <f>C30+C51+C61+C65+C31+C68+C77+C78+C79</f>
        <v>4917.069</v>
      </c>
      <c r="D87" s="108">
        <f aca="true" t="shared" si="26" ref="D87:AA87">D30+D51+D61+D65+D31+D68+D77+D78+D79</f>
        <v>0</v>
      </c>
      <c r="E87" s="108">
        <f t="shared" si="26"/>
        <v>19.874000000000002</v>
      </c>
      <c r="F87" s="108">
        <f t="shared" si="26"/>
        <v>0</v>
      </c>
      <c r="G87" s="108">
        <f t="shared" si="26"/>
        <v>36.563</v>
      </c>
      <c r="H87" s="108">
        <f t="shared" si="26"/>
        <v>754.644</v>
      </c>
      <c r="I87" s="108">
        <f t="shared" si="26"/>
        <v>145.297</v>
      </c>
      <c r="J87" s="108">
        <f t="shared" si="26"/>
        <v>156.886</v>
      </c>
      <c r="K87" s="108">
        <f t="shared" si="26"/>
        <v>47.414</v>
      </c>
      <c r="L87" s="108">
        <f t="shared" si="26"/>
        <v>0</v>
      </c>
      <c r="M87" s="108">
        <f t="shared" si="26"/>
        <v>0.645</v>
      </c>
      <c r="N87" s="108">
        <f t="shared" si="26"/>
        <v>0</v>
      </c>
      <c r="O87" s="108">
        <f t="shared" si="26"/>
        <v>498.567</v>
      </c>
      <c r="P87" s="108">
        <f t="shared" si="26"/>
        <v>43.20099999999999</v>
      </c>
      <c r="Q87" s="108">
        <f t="shared" si="26"/>
        <v>32.176</v>
      </c>
      <c r="R87" s="108">
        <f t="shared" si="26"/>
        <v>4.333</v>
      </c>
      <c r="S87" s="108">
        <f t="shared" si="26"/>
        <v>10.958</v>
      </c>
      <c r="T87" s="108">
        <f t="shared" si="26"/>
        <v>242.824</v>
      </c>
      <c r="U87" s="108">
        <f t="shared" si="26"/>
        <v>0.38</v>
      </c>
      <c r="V87" s="108">
        <f t="shared" si="26"/>
        <v>0</v>
      </c>
      <c r="W87" s="108">
        <f t="shared" si="26"/>
        <v>0</v>
      </c>
      <c r="X87" s="108">
        <f t="shared" si="26"/>
        <v>0</v>
      </c>
      <c r="Y87" s="108">
        <f t="shared" si="26"/>
        <v>0</v>
      </c>
      <c r="Z87" s="108">
        <f t="shared" si="26"/>
        <v>0</v>
      </c>
      <c r="AA87" s="108">
        <f t="shared" si="26"/>
        <v>1993.7620000000002</v>
      </c>
      <c r="AB87" s="104">
        <f>AA87-C87</f>
        <v>-2923.3070000000002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">
      <c r="A88" s="69"/>
      <c r="B88" s="107" t="s">
        <v>24</v>
      </c>
      <c r="C88" s="108">
        <f>C22+C28+C32+C33+C40+C44+C48+C56+C62+C71+C75+C76+C80+C64+C74+C72+C34+C69</f>
        <v>6271.611000000001</v>
      </c>
      <c r="D88" s="108">
        <f aca="true" t="shared" si="27" ref="D88:AA88">D22+D28+D32+D33+D40+D44+D48+D56+D62+D71+D75+D76+D80+D64+D74+D72+D34+D69</f>
        <v>0.9</v>
      </c>
      <c r="E88" s="108">
        <f t="shared" si="27"/>
        <v>1584.683</v>
      </c>
      <c r="F88" s="108">
        <f t="shared" si="27"/>
        <v>0</v>
      </c>
      <c r="G88" s="108">
        <f t="shared" si="27"/>
        <v>282.786</v>
      </c>
      <c r="H88" s="108">
        <f t="shared" si="27"/>
        <v>165.206</v>
      </c>
      <c r="I88" s="108">
        <f t="shared" si="27"/>
        <v>203.871</v>
      </c>
      <c r="J88" s="108">
        <f t="shared" si="27"/>
        <v>676.0519999999999</v>
      </c>
      <c r="K88" s="108">
        <f t="shared" si="27"/>
        <v>453.044</v>
      </c>
      <c r="L88" s="108">
        <f t="shared" si="27"/>
        <v>698.0409999999999</v>
      </c>
      <c r="M88" s="108">
        <f t="shared" si="27"/>
        <v>265.039</v>
      </c>
      <c r="N88" s="108">
        <f t="shared" si="27"/>
        <v>0</v>
      </c>
      <c r="O88" s="108">
        <f t="shared" si="27"/>
        <v>1058.632</v>
      </c>
      <c r="P88" s="108">
        <f t="shared" si="27"/>
        <v>358.276</v>
      </c>
      <c r="Q88" s="108">
        <f t="shared" si="27"/>
        <v>436.974</v>
      </c>
      <c r="R88" s="108">
        <f t="shared" si="27"/>
        <v>1663.594</v>
      </c>
      <c r="S88" s="108">
        <f t="shared" si="27"/>
        <v>893.198</v>
      </c>
      <c r="T88" s="108">
        <f t="shared" si="27"/>
        <v>130.35</v>
      </c>
      <c r="U88" s="108">
        <f t="shared" si="27"/>
        <v>148.101</v>
      </c>
      <c r="V88" s="108">
        <f t="shared" si="27"/>
        <v>0</v>
      </c>
      <c r="W88" s="108">
        <f t="shared" si="27"/>
        <v>0</v>
      </c>
      <c r="X88" s="108">
        <f t="shared" si="27"/>
        <v>-1.309</v>
      </c>
      <c r="Y88" s="108">
        <f t="shared" si="27"/>
        <v>0</v>
      </c>
      <c r="Z88" s="108">
        <f t="shared" si="27"/>
        <v>0</v>
      </c>
      <c r="AA88" s="108">
        <f t="shared" si="27"/>
        <v>10055.949999999999</v>
      </c>
      <c r="AB88" s="104">
        <f>AA88-C88</f>
        <v>3784.338999999998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">
      <c r="A89" s="69"/>
      <c r="B89" s="69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">
      <c r="A90" s="69"/>
      <c r="B90" s="69" t="s">
        <v>65</v>
      </c>
      <c r="C90" s="124">
        <f aca="true" t="shared" si="28" ref="C90:AA90">C18-C81</f>
        <v>0</v>
      </c>
      <c r="D90" s="124">
        <f t="shared" si="28"/>
        <v>0</v>
      </c>
      <c r="E90" s="124">
        <f t="shared" si="28"/>
        <v>0</v>
      </c>
      <c r="F90" s="124">
        <f t="shared" si="28"/>
        <v>0</v>
      </c>
      <c r="G90" s="124">
        <f t="shared" si="28"/>
        <v>0</v>
      </c>
      <c r="H90" s="124">
        <f t="shared" si="28"/>
        <v>0</v>
      </c>
      <c r="I90" s="124">
        <f t="shared" si="28"/>
        <v>0</v>
      </c>
      <c r="J90" s="124">
        <f t="shared" si="28"/>
        <v>0</v>
      </c>
      <c r="K90" s="124">
        <f t="shared" si="28"/>
        <v>0</v>
      </c>
      <c r="L90" s="124">
        <f t="shared" si="28"/>
        <v>0</v>
      </c>
      <c r="M90" s="124">
        <f t="shared" si="28"/>
        <v>0</v>
      </c>
      <c r="N90" s="124">
        <f t="shared" si="28"/>
        <v>0</v>
      </c>
      <c r="O90" s="124">
        <f t="shared" si="28"/>
        <v>0</v>
      </c>
      <c r="P90" s="124">
        <f t="shared" si="28"/>
        <v>0</v>
      </c>
      <c r="Q90" s="124">
        <f t="shared" si="28"/>
        <v>0</v>
      </c>
      <c r="R90" s="124">
        <f t="shared" si="28"/>
        <v>0</v>
      </c>
      <c r="S90" s="124">
        <f t="shared" si="28"/>
        <v>0</v>
      </c>
      <c r="T90" s="124">
        <f t="shared" si="28"/>
        <v>0</v>
      </c>
      <c r="U90" s="124">
        <f t="shared" si="28"/>
        <v>0</v>
      </c>
      <c r="V90" s="124">
        <f t="shared" si="28"/>
        <v>0</v>
      </c>
      <c r="W90" s="124">
        <f t="shared" si="28"/>
        <v>0</v>
      </c>
      <c r="X90" s="124">
        <f t="shared" si="28"/>
        <v>0</v>
      </c>
      <c r="Y90" s="124">
        <f t="shared" si="28"/>
        <v>0</v>
      </c>
      <c r="Z90" s="124">
        <f t="shared" si="28"/>
        <v>0</v>
      </c>
      <c r="AA90" s="124">
        <f t="shared" si="28"/>
        <v>0</v>
      </c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">
      <c r="A91" s="69"/>
      <c r="B91" s="69"/>
      <c r="C91" s="12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4" spans="1:40" s="72" customFormat="1" ht="1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71"/>
      <c r="AC94" s="127"/>
      <c r="AG94" s="73"/>
      <c r="AH94" s="73"/>
      <c r="AI94" s="73"/>
      <c r="AJ94" s="73"/>
      <c r="AK94" s="73"/>
      <c r="AL94" s="73"/>
      <c r="AM94" s="73"/>
      <c r="AN94" s="73"/>
    </row>
    <row r="173" ht="15">
      <c r="B173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zoomScale="85" zoomScaleNormal="85" zoomScaleSheetLayoutView="55" workbookViewId="0" topLeftCell="B1">
      <pane xSplit="4740" ySplit="2616" topLeftCell="V65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13" width="8.7109375" style="69" customWidth="1"/>
    <col min="14" max="14" width="8.7109375" style="69" hidden="1" customWidth="1"/>
    <col min="15" max="22" width="8.7109375" style="69" customWidth="1"/>
    <col min="23" max="24" width="8.7109375" style="69" hidden="1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7.25">
      <c r="B3" s="137" t="s">
        <v>74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">
      <c r="B4" s="69" t="s">
        <v>0</v>
      </c>
      <c r="AA4" s="70" t="s">
        <v>1</v>
      </c>
    </row>
    <row r="5" spans="2:27" ht="69">
      <c r="B5" s="74" t="s">
        <v>2</v>
      </c>
      <c r="C5" s="75" t="s">
        <v>3</v>
      </c>
      <c r="D5" s="76">
        <v>3</v>
      </c>
      <c r="E5" s="74">
        <v>4</v>
      </c>
      <c r="F5" s="74">
        <v>5</v>
      </c>
      <c r="G5" s="74">
        <v>6</v>
      </c>
      <c r="H5" s="74">
        <v>7</v>
      </c>
      <c r="I5" s="74">
        <v>10</v>
      </c>
      <c r="J5" s="77">
        <v>11</v>
      </c>
      <c r="K5" s="74">
        <v>12</v>
      </c>
      <c r="L5" s="74">
        <v>13</v>
      </c>
      <c r="M5" s="74">
        <v>14</v>
      </c>
      <c r="N5" s="74">
        <v>18</v>
      </c>
      <c r="O5" s="74">
        <v>18</v>
      </c>
      <c r="P5" s="74">
        <v>19</v>
      </c>
      <c r="Q5" s="74">
        <v>20</v>
      </c>
      <c r="R5" s="74">
        <v>21</v>
      </c>
      <c r="S5" s="74">
        <v>24</v>
      </c>
      <c r="T5" s="74">
        <v>25</v>
      </c>
      <c r="U5" s="74">
        <v>26</v>
      </c>
      <c r="V5" s="77">
        <v>27</v>
      </c>
      <c r="W5" s="74"/>
      <c r="X5" s="77"/>
      <c r="Y5" s="77"/>
      <c r="Z5" s="77"/>
      <c r="AA5" s="76" t="s">
        <v>4</v>
      </c>
    </row>
    <row r="6" spans="2:27" ht="27">
      <c r="B6" s="78" t="s">
        <v>5</v>
      </c>
      <c r="C6" s="79">
        <f>SUM(D6:Y6)</f>
        <v>21.6</v>
      </c>
      <c r="D6" s="80"/>
      <c r="E6" s="81"/>
      <c r="F6" s="82"/>
      <c r="G6" s="81"/>
      <c r="H6" s="82"/>
      <c r="I6" s="82"/>
      <c r="J6" s="83"/>
      <c r="K6" s="82"/>
      <c r="L6" s="82"/>
      <c r="M6" s="82">
        <v>21.6</v>
      </c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">
      <c r="B7" s="84" t="s">
        <v>6</v>
      </c>
      <c r="C7" s="79">
        <f>SUM(D7:Y7)</f>
        <v>7313.8</v>
      </c>
      <c r="D7" s="85">
        <v>3656.9</v>
      </c>
      <c r="E7" s="81"/>
      <c r="F7" s="81"/>
      <c r="G7" s="81"/>
      <c r="H7" s="81"/>
      <c r="I7" s="81"/>
      <c r="J7" s="86">
        <v>3656.9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">
      <c r="B8" s="87" t="s">
        <v>8</v>
      </c>
      <c r="C8" s="88">
        <f aca="true" t="shared" si="0" ref="C8:C16">SUM(D8:Z8)</f>
        <v>18772.7</v>
      </c>
      <c r="D8" s="89">
        <f aca="true" t="shared" si="1" ref="D8:Y8">SUM(D9:D16)</f>
        <v>331.00000000000006</v>
      </c>
      <c r="E8" s="89">
        <f t="shared" si="1"/>
        <v>389.6</v>
      </c>
      <c r="F8" s="89">
        <f t="shared" si="1"/>
        <v>579.1999999999999</v>
      </c>
      <c r="G8" s="89">
        <f t="shared" si="1"/>
        <v>2215.3999999999996</v>
      </c>
      <c r="H8" s="89">
        <f t="shared" si="1"/>
        <v>1505.4</v>
      </c>
      <c r="I8" s="89">
        <f>SUM(I9:I16)</f>
        <v>574.6</v>
      </c>
      <c r="J8" s="89">
        <f t="shared" si="1"/>
        <v>466.79999999999995</v>
      </c>
      <c r="K8" s="89">
        <f>SUM(K9:K16)</f>
        <v>694.6999999999998</v>
      </c>
      <c r="L8" s="89">
        <f t="shared" si="1"/>
        <v>1205</v>
      </c>
      <c r="M8" s="89">
        <f t="shared" si="1"/>
        <v>793.8</v>
      </c>
      <c r="N8" s="89">
        <f t="shared" si="1"/>
        <v>0</v>
      </c>
      <c r="O8" s="89">
        <f t="shared" si="1"/>
        <v>878.6000000000001</v>
      </c>
      <c r="P8" s="89">
        <f t="shared" si="1"/>
        <v>736.7000000000002</v>
      </c>
      <c r="Q8" s="89">
        <f t="shared" si="1"/>
        <v>1077</v>
      </c>
      <c r="R8" s="89">
        <f t="shared" si="1"/>
        <v>1506.6</v>
      </c>
      <c r="S8" s="89">
        <f>SUM(S9:S16)</f>
        <v>1185.0000000000002</v>
      </c>
      <c r="T8" s="89">
        <f>SUM(T9:T16)</f>
        <v>1665.6000000000001</v>
      </c>
      <c r="U8" s="89">
        <f t="shared" si="1"/>
        <v>1638.8999999999999</v>
      </c>
      <c r="V8" s="89">
        <f t="shared" si="1"/>
        <v>1328.8</v>
      </c>
      <c r="W8" s="89">
        <f t="shared" si="1"/>
        <v>0</v>
      </c>
      <c r="X8" s="89">
        <f t="shared" si="1"/>
        <v>0</v>
      </c>
      <c r="Y8" s="89">
        <f t="shared" si="1"/>
        <v>0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">
      <c r="B9" s="27" t="s">
        <v>9</v>
      </c>
      <c r="C9" s="90">
        <f t="shared" si="0"/>
        <v>12052.9</v>
      </c>
      <c r="D9" s="91">
        <v>119.3</v>
      </c>
      <c r="E9" s="86">
        <v>201.8</v>
      </c>
      <c r="F9" s="86">
        <v>372.6</v>
      </c>
      <c r="G9" s="86">
        <v>2027.6</v>
      </c>
      <c r="H9" s="86">
        <v>1116.8</v>
      </c>
      <c r="I9" s="86">
        <v>315.6</v>
      </c>
      <c r="J9" s="86">
        <v>265.9</v>
      </c>
      <c r="K9" s="86">
        <v>444.9</v>
      </c>
      <c r="L9" s="86">
        <v>939.4</v>
      </c>
      <c r="M9" s="86">
        <v>544.1</v>
      </c>
      <c r="N9" s="86"/>
      <c r="O9" s="86">
        <v>336.6</v>
      </c>
      <c r="P9" s="86">
        <v>324.8</v>
      </c>
      <c r="Q9" s="86">
        <v>847.5</v>
      </c>
      <c r="R9" s="92">
        <v>1272.7</v>
      </c>
      <c r="S9" s="92">
        <v>502.9</v>
      </c>
      <c r="T9" s="86">
        <v>527.6</v>
      </c>
      <c r="U9" s="92">
        <v>1038</v>
      </c>
      <c r="V9" s="86">
        <v>854.8</v>
      </c>
      <c r="W9" s="86"/>
      <c r="X9" s="86"/>
      <c r="Y9" s="86"/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1101.1000000000001</v>
      </c>
      <c r="D11" s="91">
        <v>52.7</v>
      </c>
      <c r="E11" s="86">
        <v>21.8</v>
      </c>
      <c r="F11" s="86">
        <v>28.7</v>
      </c>
      <c r="G11" s="86">
        <v>12.3</v>
      </c>
      <c r="H11" s="86">
        <v>15.9</v>
      </c>
      <c r="I11" s="86">
        <v>77.8</v>
      </c>
      <c r="J11" s="86">
        <v>27.3</v>
      </c>
      <c r="K11" s="86">
        <v>30.9</v>
      </c>
      <c r="L11" s="86">
        <v>48.6</v>
      </c>
      <c r="M11" s="86">
        <v>37.8</v>
      </c>
      <c r="N11" s="86"/>
      <c r="O11" s="86">
        <v>83.3</v>
      </c>
      <c r="P11" s="86">
        <v>30.6</v>
      </c>
      <c r="Q11" s="86">
        <v>31.3</v>
      </c>
      <c r="R11" s="92">
        <v>36.9</v>
      </c>
      <c r="S11" s="92">
        <v>174.8</v>
      </c>
      <c r="T11" s="86">
        <v>198.4</v>
      </c>
      <c r="U11" s="92">
        <v>103.6</v>
      </c>
      <c r="V11" s="86">
        <v>88.4</v>
      </c>
      <c r="W11" s="86"/>
      <c r="X11" s="86"/>
      <c r="Y11" s="86"/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">
      <c r="B12" s="27" t="s">
        <v>12</v>
      </c>
      <c r="C12" s="90">
        <f t="shared" si="0"/>
        <v>882.7000000000002</v>
      </c>
      <c r="D12" s="91">
        <v>10.4</v>
      </c>
      <c r="E12" s="86">
        <v>37.5</v>
      </c>
      <c r="F12" s="86">
        <v>102</v>
      </c>
      <c r="G12" s="86">
        <v>19.8</v>
      </c>
      <c r="H12" s="86">
        <v>43.3</v>
      </c>
      <c r="I12" s="86">
        <v>50.8</v>
      </c>
      <c r="J12" s="86">
        <v>24</v>
      </c>
      <c r="K12" s="86">
        <v>46</v>
      </c>
      <c r="L12" s="86">
        <v>31.5</v>
      </c>
      <c r="M12" s="86">
        <v>33.1</v>
      </c>
      <c r="N12" s="86"/>
      <c r="O12" s="86">
        <v>121.4</v>
      </c>
      <c r="P12" s="86">
        <v>68.4</v>
      </c>
      <c r="Q12" s="86">
        <v>33.2</v>
      </c>
      <c r="R12" s="92">
        <v>42.6</v>
      </c>
      <c r="S12" s="92">
        <v>82.1</v>
      </c>
      <c r="T12" s="86">
        <v>35.1</v>
      </c>
      <c r="U12" s="92">
        <v>54.9</v>
      </c>
      <c r="V12" s="86">
        <v>46.6</v>
      </c>
      <c r="W12" s="86"/>
      <c r="X12" s="86"/>
      <c r="Y12" s="86"/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">
      <c r="B13" s="27" t="s">
        <v>13</v>
      </c>
      <c r="C13" s="90">
        <f t="shared" si="0"/>
        <v>2576.7</v>
      </c>
      <c r="D13" s="91">
        <v>56.2</v>
      </c>
      <c r="E13" s="86">
        <v>34.5</v>
      </c>
      <c r="F13" s="86">
        <v>29.1</v>
      </c>
      <c r="G13" s="86">
        <v>25.1</v>
      </c>
      <c r="H13" s="86">
        <v>189.2</v>
      </c>
      <c r="I13" s="86">
        <v>35</v>
      </c>
      <c r="J13" s="86">
        <v>81.2</v>
      </c>
      <c r="K13" s="86">
        <v>33.8</v>
      </c>
      <c r="L13" s="86">
        <v>74.7</v>
      </c>
      <c r="M13" s="86">
        <v>57.8</v>
      </c>
      <c r="N13" s="86"/>
      <c r="O13" s="86">
        <v>49.3</v>
      </c>
      <c r="P13" s="86">
        <v>66.1</v>
      </c>
      <c r="Q13" s="86">
        <v>84.2</v>
      </c>
      <c r="R13" s="92">
        <v>82.9</v>
      </c>
      <c r="S13" s="92">
        <v>334.3</v>
      </c>
      <c r="T13" s="86">
        <v>839.6</v>
      </c>
      <c r="U13" s="86">
        <v>297.6</v>
      </c>
      <c r="V13" s="86">
        <v>206.1</v>
      </c>
      <c r="W13" s="86"/>
      <c r="X13" s="86"/>
      <c r="Y13" s="86"/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">
      <c r="B14" s="27" t="s">
        <v>14</v>
      </c>
      <c r="C14" s="90">
        <f t="shared" si="0"/>
        <v>1495</v>
      </c>
      <c r="D14" s="91">
        <v>47.8</v>
      </c>
      <c r="E14" s="86">
        <v>70.8</v>
      </c>
      <c r="F14" s="86">
        <v>29.8</v>
      </c>
      <c r="G14" s="86">
        <v>119.6</v>
      </c>
      <c r="H14" s="86">
        <v>108</v>
      </c>
      <c r="I14" s="86">
        <v>65.3</v>
      </c>
      <c r="J14" s="86">
        <v>45.7</v>
      </c>
      <c r="K14" s="86">
        <v>34.3</v>
      </c>
      <c r="L14" s="86">
        <v>84.9</v>
      </c>
      <c r="M14" s="86">
        <v>93.5</v>
      </c>
      <c r="N14" s="86"/>
      <c r="O14" s="86">
        <v>251.8</v>
      </c>
      <c r="P14" s="86">
        <v>184.6</v>
      </c>
      <c r="Q14" s="86">
        <v>45.7</v>
      </c>
      <c r="R14" s="92">
        <v>40.3</v>
      </c>
      <c r="S14" s="92">
        <v>35.8</v>
      </c>
      <c r="T14" s="86">
        <v>35.8</v>
      </c>
      <c r="U14" s="92">
        <v>103.9</v>
      </c>
      <c r="V14" s="86">
        <v>97.4</v>
      </c>
      <c r="W14" s="86"/>
      <c r="X14" s="86"/>
      <c r="Y14" s="86"/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264.69999999999993</v>
      </c>
      <c r="D15" s="91">
        <v>10.3</v>
      </c>
      <c r="E15" s="86">
        <v>11.8</v>
      </c>
      <c r="F15" s="86">
        <v>11.4</v>
      </c>
      <c r="G15" s="86">
        <v>8.6</v>
      </c>
      <c r="H15" s="86">
        <v>15</v>
      </c>
      <c r="I15" s="86">
        <v>16</v>
      </c>
      <c r="J15" s="86">
        <v>10.2</v>
      </c>
      <c r="K15" s="86">
        <v>18.9</v>
      </c>
      <c r="L15" s="86">
        <v>13.8</v>
      </c>
      <c r="M15" s="86">
        <v>11.7</v>
      </c>
      <c r="N15" s="86"/>
      <c r="O15" s="86">
        <v>14.1</v>
      </c>
      <c r="P15" s="86">
        <v>14.6</v>
      </c>
      <c r="Q15" s="86">
        <v>20.3</v>
      </c>
      <c r="R15" s="92">
        <v>15.6</v>
      </c>
      <c r="S15" s="92">
        <v>16.7</v>
      </c>
      <c r="T15" s="86">
        <v>14.7</v>
      </c>
      <c r="U15" s="92">
        <v>23.1</v>
      </c>
      <c r="V15" s="86">
        <v>17.9</v>
      </c>
      <c r="W15" s="86"/>
      <c r="X15" s="86"/>
      <c r="Y15" s="86"/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399.6</v>
      </c>
      <c r="D16" s="91">
        <v>34.3</v>
      </c>
      <c r="E16" s="86">
        <v>11.4</v>
      </c>
      <c r="F16" s="86">
        <v>5.6</v>
      </c>
      <c r="G16" s="86">
        <v>2.4</v>
      </c>
      <c r="H16" s="86">
        <v>17.2</v>
      </c>
      <c r="I16" s="86">
        <v>14.1</v>
      </c>
      <c r="J16" s="86">
        <v>12.5</v>
      </c>
      <c r="K16" s="86">
        <v>85.9</v>
      </c>
      <c r="L16" s="86">
        <v>12.1</v>
      </c>
      <c r="M16" s="86">
        <v>15.8</v>
      </c>
      <c r="N16" s="86"/>
      <c r="O16" s="86">
        <v>22.1</v>
      </c>
      <c r="P16" s="86">
        <v>47.6</v>
      </c>
      <c r="Q16" s="86">
        <v>14.8</v>
      </c>
      <c r="R16" s="92">
        <v>15.6</v>
      </c>
      <c r="S16" s="92">
        <v>38.4</v>
      </c>
      <c r="T16" s="86">
        <v>14.4</v>
      </c>
      <c r="U16" s="92">
        <v>17.8</v>
      </c>
      <c r="V16" s="86">
        <v>17.6</v>
      </c>
      <c r="W16" s="86"/>
      <c r="X16" s="92"/>
      <c r="Y16" s="86"/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26108.1</v>
      </c>
      <c r="D17" s="101">
        <f>SUM(D6:D8)</f>
        <v>3987.9</v>
      </c>
      <c r="E17" s="101">
        <f aca="true" t="shared" si="2" ref="E17:Y17">SUM(E6:E8)</f>
        <v>389.6</v>
      </c>
      <c r="F17" s="101">
        <f t="shared" si="2"/>
        <v>579.1999999999999</v>
      </c>
      <c r="G17" s="101">
        <f t="shared" si="2"/>
        <v>2215.3999999999996</v>
      </c>
      <c r="H17" s="101">
        <f t="shared" si="2"/>
        <v>1505.4</v>
      </c>
      <c r="I17" s="101">
        <f t="shared" si="2"/>
        <v>574.6</v>
      </c>
      <c r="J17" s="101">
        <f t="shared" si="2"/>
        <v>4123.7</v>
      </c>
      <c r="K17" s="101">
        <f t="shared" si="2"/>
        <v>694.6999999999998</v>
      </c>
      <c r="L17" s="101">
        <f t="shared" si="2"/>
        <v>1205</v>
      </c>
      <c r="M17" s="101">
        <f>SUM(M6:M8)</f>
        <v>815.4</v>
      </c>
      <c r="N17" s="101">
        <f t="shared" si="2"/>
        <v>0</v>
      </c>
      <c r="O17" s="101">
        <f t="shared" si="2"/>
        <v>878.6000000000001</v>
      </c>
      <c r="P17" s="101">
        <f t="shared" si="2"/>
        <v>736.7000000000002</v>
      </c>
      <c r="Q17" s="101">
        <f t="shared" si="2"/>
        <v>1077</v>
      </c>
      <c r="R17" s="101">
        <f t="shared" si="2"/>
        <v>1506.6</v>
      </c>
      <c r="S17" s="101">
        <f t="shared" si="2"/>
        <v>1185.0000000000002</v>
      </c>
      <c r="T17" s="101">
        <f>SUM(T6:T8)</f>
        <v>1665.6000000000001</v>
      </c>
      <c r="U17" s="101">
        <f t="shared" si="2"/>
        <v>1638.8999999999999</v>
      </c>
      <c r="V17" s="101">
        <f t="shared" si="2"/>
        <v>1328.8</v>
      </c>
      <c r="W17" s="101">
        <f t="shared" si="2"/>
        <v>0</v>
      </c>
      <c r="X17" s="101">
        <f t="shared" si="2"/>
        <v>0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">
      <c r="B18" s="102" t="s">
        <v>18</v>
      </c>
      <c r="C18" s="103">
        <f>C19+C23+C29+C32+C33+C34+C35+C41+C45+C49+C52+C57+C63+C70+C75+C76+C80+C31+C66+C74+C72+C73+C77+C78+C79+C69</f>
        <v>40773.557510000006</v>
      </c>
      <c r="D18" s="103">
        <f aca="true" t="shared" si="3" ref="D18:AA18">D19+D23+D29+D32+D33+D34+D35+D41+D45+D49+D52+D57+D63+D70+D75+D76+D80+D31+D66+D74+D72+D73+D77+D78+D79+D69</f>
        <v>457.673</v>
      </c>
      <c r="E18" s="103">
        <f t="shared" si="3"/>
        <v>61.497</v>
      </c>
      <c r="F18" s="103">
        <f t="shared" si="3"/>
        <v>1031.7540000000001</v>
      </c>
      <c r="G18" s="103">
        <f t="shared" si="3"/>
        <v>382.605</v>
      </c>
      <c r="H18" s="103">
        <f t="shared" si="3"/>
        <v>1470.801</v>
      </c>
      <c r="I18" s="103">
        <f t="shared" si="3"/>
        <v>5772.2210000000005</v>
      </c>
      <c r="J18" s="103">
        <f t="shared" si="3"/>
        <v>3792.848</v>
      </c>
      <c r="K18" s="103">
        <f t="shared" si="3"/>
        <v>381.21599999999995</v>
      </c>
      <c r="L18" s="103">
        <f t="shared" si="3"/>
        <v>2584.6829999999995</v>
      </c>
      <c r="M18" s="103">
        <f t="shared" si="3"/>
        <v>1145.132</v>
      </c>
      <c r="N18" s="103">
        <f t="shared" si="3"/>
        <v>0</v>
      </c>
      <c r="O18" s="103">
        <f t="shared" si="3"/>
        <v>172.313</v>
      </c>
      <c r="P18" s="103">
        <f t="shared" si="3"/>
        <v>900.7550000000001</v>
      </c>
      <c r="Q18" s="103">
        <f t="shared" si="3"/>
        <v>425.991</v>
      </c>
      <c r="R18" s="103">
        <f t="shared" si="3"/>
        <v>3795.5659999999993</v>
      </c>
      <c r="S18" s="103">
        <f t="shared" si="3"/>
        <v>4810.969999999999</v>
      </c>
      <c r="T18" s="103">
        <f t="shared" si="3"/>
        <v>2645.0910000000003</v>
      </c>
      <c r="U18" s="103">
        <f t="shared" si="3"/>
        <v>-0.526</v>
      </c>
      <c r="V18" s="103">
        <f t="shared" si="3"/>
        <v>0</v>
      </c>
      <c r="W18" s="103">
        <f t="shared" si="3"/>
        <v>0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29830.589999999997</v>
      </c>
      <c r="AB18" s="104">
        <f aca="true" t="shared" si="4" ref="AB18:AB84">AA18-C18</f>
        <v>-10942.96751000001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">
      <c r="A19" s="66">
        <v>10116</v>
      </c>
      <c r="B19" s="105" t="s">
        <v>19</v>
      </c>
      <c r="C19" s="106">
        <f aca="true" t="shared" si="5" ref="C19:AA19">SUM(C20:C22)</f>
        <v>4769.258</v>
      </c>
      <c r="D19" s="106">
        <f t="shared" si="5"/>
        <v>6.2700000000000005</v>
      </c>
      <c r="E19" s="106">
        <f t="shared" si="5"/>
        <v>14.972999999999999</v>
      </c>
      <c r="F19" s="106">
        <f t="shared" si="5"/>
        <v>1.629</v>
      </c>
      <c r="G19" s="106">
        <f t="shared" si="5"/>
        <v>24.593</v>
      </c>
      <c r="H19" s="106">
        <f t="shared" si="5"/>
        <v>313.078</v>
      </c>
      <c r="I19" s="106">
        <f t="shared" si="5"/>
        <v>0</v>
      </c>
      <c r="J19" s="106">
        <f t="shared" si="5"/>
        <v>720.275</v>
      </c>
      <c r="K19" s="106">
        <f t="shared" si="5"/>
        <v>124.575</v>
      </c>
      <c r="L19" s="106">
        <f t="shared" si="5"/>
        <v>230.775</v>
      </c>
      <c r="M19" s="106">
        <f t="shared" si="5"/>
        <v>13.773</v>
      </c>
      <c r="N19" s="106">
        <f t="shared" si="5"/>
        <v>0</v>
      </c>
      <c r="O19" s="106">
        <f t="shared" si="5"/>
        <v>4.26</v>
      </c>
      <c r="P19" s="106">
        <f t="shared" si="5"/>
        <v>3.54</v>
      </c>
      <c r="Q19" s="106">
        <f t="shared" si="5"/>
        <v>157.428</v>
      </c>
      <c r="R19" s="106">
        <f t="shared" si="5"/>
        <v>136.519</v>
      </c>
      <c r="S19" s="106">
        <f t="shared" si="5"/>
        <v>253.643</v>
      </c>
      <c r="T19" s="106">
        <f>SUM(T20:T22)</f>
        <v>1421.811</v>
      </c>
      <c r="U19" s="106">
        <f t="shared" si="5"/>
        <v>0</v>
      </c>
      <c r="V19" s="106">
        <f t="shared" si="5"/>
        <v>0</v>
      </c>
      <c r="W19" s="106">
        <f t="shared" si="5"/>
        <v>0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3427.142</v>
      </c>
      <c r="AB19" s="104">
        <f t="shared" si="4"/>
        <v>-1342.116</v>
      </c>
      <c r="AD19" s="73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2:33" ht="15">
      <c r="B20" s="107" t="s">
        <v>20</v>
      </c>
      <c r="C20" s="108">
        <f>3350.649-0.5+20+4.5+6</f>
        <v>3380.649</v>
      </c>
      <c r="D20" s="81">
        <v>6.08</v>
      </c>
      <c r="E20" s="81">
        <v>3.943</v>
      </c>
      <c r="F20" s="81"/>
      <c r="G20" s="81">
        <v>22.733</v>
      </c>
      <c r="H20" s="81">
        <v>170.229</v>
      </c>
      <c r="I20" s="81"/>
      <c r="J20" s="86">
        <v>702.692</v>
      </c>
      <c r="K20" s="81">
        <v>117.285</v>
      </c>
      <c r="L20" s="81">
        <v>228.9</v>
      </c>
      <c r="M20" s="81"/>
      <c r="N20" s="81"/>
      <c r="O20" s="81"/>
      <c r="P20" s="81"/>
      <c r="Q20" s="81">
        <v>33.399</v>
      </c>
      <c r="R20" s="81">
        <v>133.973</v>
      </c>
      <c r="S20" s="81">
        <v>252.455</v>
      </c>
      <c r="T20" s="81">
        <v>1338.741</v>
      </c>
      <c r="U20" s="81"/>
      <c r="V20" s="86"/>
      <c r="W20" s="86"/>
      <c r="X20" s="86"/>
      <c r="Y20" s="81"/>
      <c r="Z20" s="81"/>
      <c r="AA20" s="81">
        <f>SUM(D20:Z20)</f>
        <v>3010.43</v>
      </c>
      <c r="AB20" s="104">
        <f t="shared" si="4"/>
        <v>-370.21900000000005</v>
      </c>
      <c r="AC20" s="71"/>
      <c r="AD20" s="67" t="s">
        <v>21</v>
      </c>
      <c r="AE20" s="109">
        <f>AA19</f>
        <v>3427.142</v>
      </c>
      <c r="AG20" s="72"/>
    </row>
    <row r="21" spans="2:33" ht="15">
      <c r="B21" s="107" t="s">
        <v>22</v>
      </c>
      <c r="C21" s="108">
        <v>345.194</v>
      </c>
      <c r="D21" s="81"/>
      <c r="E21" s="81">
        <v>3.544</v>
      </c>
      <c r="F21" s="81"/>
      <c r="G21" s="81"/>
      <c r="H21" s="81"/>
      <c r="I21" s="81"/>
      <c r="J21" s="86"/>
      <c r="K21" s="81"/>
      <c r="L21" s="81"/>
      <c r="M21" s="81">
        <v>10.323</v>
      </c>
      <c r="N21" s="81"/>
      <c r="O21" s="81">
        <v>4.26</v>
      </c>
      <c r="P21" s="81">
        <v>1.413</v>
      </c>
      <c r="Q21" s="81">
        <v>0.226</v>
      </c>
      <c r="R21" s="81">
        <v>0.652</v>
      </c>
      <c r="S21" s="81">
        <v>0.054</v>
      </c>
      <c r="T21" s="81">
        <v>13.787</v>
      </c>
      <c r="U21" s="81"/>
      <c r="V21" s="86"/>
      <c r="W21" s="86"/>
      <c r="X21" s="86"/>
      <c r="Y21" s="81"/>
      <c r="Z21" s="81"/>
      <c r="AA21" s="81">
        <f>SUM(D21:Z21)</f>
        <v>34.259</v>
      </c>
      <c r="AB21" s="104">
        <f t="shared" si="4"/>
        <v>-310.935</v>
      </c>
      <c r="AC21" s="71"/>
      <c r="AD21" s="67" t="s">
        <v>23</v>
      </c>
      <c r="AE21" s="109">
        <f>AA23</f>
        <v>16874.899999999998</v>
      </c>
      <c r="AG21" s="72"/>
    </row>
    <row r="22" spans="2:33" ht="15">
      <c r="B22" s="107" t="s">
        <v>24</v>
      </c>
      <c r="C22" s="108">
        <f>889.615+0.5+3.3+150</f>
        <v>1043.415</v>
      </c>
      <c r="D22" s="81">
        <v>0.19</v>
      </c>
      <c r="E22" s="81">
        <v>7.486</v>
      </c>
      <c r="F22" s="81">
        <v>1.629</v>
      </c>
      <c r="G22" s="81">
        <v>1.86</v>
      </c>
      <c r="H22" s="81">
        <v>142.849</v>
      </c>
      <c r="I22" s="81"/>
      <c r="J22" s="81">
        <v>17.583</v>
      </c>
      <c r="K22" s="81">
        <v>7.29</v>
      </c>
      <c r="L22" s="81">
        <v>1.875</v>
      </c>
      <c r="M22" s="81">
        <v>3.45</v>
      </c>
      <c r="N22" s="81"/>
      <c r="O22" s="81"/>
      <c r="P22" s="81">
        <v>2.127</v>
      </c>
      <c r="Q22" s="81">
        <v>123.803</v>
      </c>
      <c r="R22" s="81">
        <v>1.894</v>
      </c>
      <c r="S22" s="81">
        <v>1.134</v>
      </c>
      <c r="T22" s="81">
        <v>69.283</v>
      </c>
      <c r="U22" s="81"/>
      <c r="V22" s="81"/>
      <c r="W22" s="81"/>
      <c r="X22" s="81"/>
      <c r="Y22" s="81"/>
      <c r="Z22" s="81"/>
      <c r="AA22" s="81">
        <f>SUM(D22:Z22)</f>
        <v>382.453</v>
      </c>
      <c r="AB22" s="104">
        <f t="shared" si="4"/>
        <v>-660.962</v>
      </c>
      <c r="AC22" s="71"/>
      <c r="AD22" s="67" t="s">
        <v>25</v>
      </c>
      <c r="AE22" s="109">
        <f>$AA$29+$AA$31</f>
        <v>125.254</v>
      </c>
      <c r="AG22" s="72"/>
    </row>
    <row r="23" spans="1:40" s="66" customFormat="1" ht="15">
      <c r="A23" s="66">
        <v>7000</v>
      </c>
      <c r="B23" s="105" t="s">
        <v>26</v>
      </c>
      <c r="C23" s="106">
        <f aca="true" t="shared" si="6" ref="C23:AA23">SUM(C24:C28)</f>
        <v>24514.369000000002</v>
      </c>
      <c r="D23" s="106">
        <f t="shared" si="6"/>
        <v>0</v>
      </c>
      <c r="E23" s="106">
        <f t="shared" si="6"/>
        <v>0</v>
      </c>
      <c r="F23" s="106">
        <f t="shared" si="6"/>
        <v>17.465</v>
      </c>
      <c r="G23" s="106">
        <f t="shared" si="6"/>
        <v>148.059</v>
      </c>
      <c r="H23" s="106">
        <f t="shared" si="6"/>
        <v>198.65500000000003</v>
      </c>
      <c r="I23" s="106">
        <f t="shared" si="6"/>
        <v>4215.491</v>
      </c>
      <c r="J23" s="106">
        <f t="shared" si="6"/>
        <v>2899.212</v>
      </c>
      <c r="K23" s="106">
        <f t="shared" si="6"/>
        <v>0</v>
      </c>
      <c r="L23" s="106">
        <f t="shared" si="6"/>
        <v>1638.007</v>
      </c>
      <c r="M23" s="106">
        <f t="shared" si="6"/>
        <v>0</v>
      </c>
      <c r="N23" s="106">
        <f t="shared" si="6"/>
        <v>0</v>
      </c>
      <c r="O23" s="106">
        <f t="shared" si="6"/>
        <v>39.425</v>
      </c>
      <c r="P23" s="106">
        <f t="shared" si="6"/>
        <v>19.067999999999998</v>
      </c>
      <c r="Q23" s="106">
        <f>SUM(Q24:Q28)</f>
        <v>0</v>
      </c>
      <c r="R23" s="106">
        <f t="shared" si="6"/>
        <v>3004.028</v>
      </c>
      <c r="S23" s="106">
        <f t="shared" si="6"/>
        <v>3844.2190000000005</v>
      </c>
      <c r="T23" s="106">
        <f>SUM(T24:T28)</f>
        <v>851.271</v>
      </c>
      <c r="U23" s="106">
        <f>SUM(U24:U28)</f>
        <v>0</v>
      </c>
      <c r="V23" s="106">
        <f t="shared" si="6"/>
        <v>0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16874.899999999998</v>
      </c>
      <c r="AB23" s="104">
        <f t="shared" si="4"/>
        <v>-7639.469000000005</v>
      </c>
      <c r="AC23" s="65"/>
      <c r="AD23" s="67" t="s">
        <v>27</v>
      </c>
      <c r="AE23" s="109">
        <f>$AA$32+$AA$33+$AA$35+$AA$41+$AA$45+$AA$34</f>
        <v>1218.7220000000002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">
      <c r="B24" s="107" t="s">
        <v>20</v>
      </c>
      <c r="C24" s="108">
        <f>20652.922-20</f>
        <v>20632.922</v>
      </c>
      <c r="D24" s="81"/>
      <c r="E24" s="81"/>
      <c r="F24" s="81"/>
      <c r="G24" s="81"/>
      <c r="H24" s="81"/>
      <c r="I24" s="81">
        <f>890.274+3219.262</f>
        <v>4109.536</v>
      </c>
      <c r="J24" s="86">
        <f>896.821+12.043+1885</f>
        <v>2793.864</v>
      </c>
      <c r="K24" s="81"/>
      <c r="L24" s="81">
        <f>308.149+1063</f>
        <v>1371.149</v>
      </c>
      <c r="M24" s="81"/>
      <c r="N24" s="81"/>
      <c r="O24" s="81"/>
      <c r="P24" s="81">
        <v>4.179</v>
      </c>
      <c r="Q24" s="81"/>
      <c r="R24" s="110">
        <f>2285.703+501.526+58.776</f>
        <v>2846.0049999999997</v>
      </c>
      <c r="S24" s="81">
        <f>2589.251+1112.506+8.207</f>
        <v>3709.9640000000004</v>
      </c>
      <c r="T24" s="81">
        <f>240.454+564.682</f>
        <v>805.136</v>
      </c>
      <c r="U24" s="81"/>
      <c r="V24" s="86"/>
      <c r="W24" s="86"/>
      <c r="X24" s="86"/>
      <c r="Y24" s="81"/>
      <c r="Z24" s="81"/>
      <c r="AA24" s="81">
        <f>SUM(D24:Z24)</f>
        <v>15639.832999999999</v>
      </c>
      <c r="AB24" s="104">
        <f t="shared" si="4"/>
        <v>-4993.089</v>
      </c>
      <c r="AC24" s="71"/>
      <c r="AD24" s="67" t="s">
        <v>28</v>
      </c>
      <c r="AE24" s="109">
        <f>$AA$63+$AA$66+AA73</f>
        <v>1571.6280000000002</v>
      </c>
      <c r="AG24" s="72"/>
    </row>
    <row r="25" spans="2:33" ht="15">
      <c r="B25" s="107" t="s">
        <v>29</v>
      </c>
      <c r="C25" s="108">
        <v>16.722</v>
      </c>
      <c r="D25" s="81"/>
      <c r="E25" s="81"/>
      <c r="F25" s="81"/>
      <c r="G25" s="81"/>
      <c r="H25" s="81"/>
      <c r="I25" s="81"/>
      <c r="J25" s="86">
        <v>3</v>
      </c>
      <c r="K25" s="81"/>
      <c r="L25" s="81"/>
      <c r="M25" s="81"/>
      <c r="N25" s="81"/>
      <c r="O25" s="81"/>
      <c r="P25" s="81"/>
      <c r="Q25" s="81"/>
      <c r="R25" s="110"/>
      <c r="S25" s="81">
        <v>1.498</v>
      </c>
      <c r="T25" s="81"/>
      <c r="U25" s="81"/>
      <c r="V25" s="86"/>
      <c r="W25" s="86"/>
      <c r="X25" s="86"/>
      <c r="Y25" s="81"/>
      <c r="Z25" s="81"/>
      <c r="AA25" s="81">
        <f>SUM(D25:Z25)</f>
        <v>4.498</v>
      </c>
      <c r="AB25" s="104">
        <f t="shared" si="4"/>
        <v>-12.224</v>
      </c>
      <c r="AC25" s="71"/>
      <c r="AD25" s="67" t="s">
        <v>30</v>
      </c>
      <c r="AE25" s="109">
        <f>$AA$52</f>
        <v>770.645</v>
      </c>
      <c r="AG25" s="72"/>
    </row>
    <row r="26" spans="2:33" ht="15">
      <c r="B26" s="107" t="s">
        <v>31</v>
      </c>
      <c r="C26" s="108">
        <v>723.161</v>
      </c>
      <c r="D26" s="81"/>
      <c r="E26" s="81"/>
      <c r="F26" s="81"/>
      <c r="G26" s="81">
        <v>53.645</v>
      </c>
      <c r="H26" s="81">
        <v>71.343</v>
      </c>
      <c r="I26" s="81">
        <v>13.833</v>
      </c>
      <c r="J26" s="86">
        <v>60.682</v>
      </c>
      <c r="K26" s="81"/>
      <c r="L26" s="81">
        <v>27.851</v>
      </c>
      <c r="M26" s="81"/>
      <c r="N26" s="81"/>
      <c r="O26" s="81">
        <v>29.436</v>
      </c>
      <c r="P26" s="81"/>
      <c r="Q26" s="81"/>
      <c r="R26" s="110">
        <v>10.35</v>
      </c>
      <c r="S26" s="81">
        <v>43.389</v>
      </c>
      <c r="T26" s="81">
        <v>1.165</v>
      </c>
      <c r="U26" s="81"/>
      <c r="V26" s="86"/>
      <c r="W26" s="86"/>
      <c r="X26" s="86"/>
      <c r="Y26" s="81"/>
      <c r="Z26" s="81"/>
      <c r="AA26" s="81">
        <f>SUM(D26:Z26)</f>
        <v>311.694</v>
      </c>
      <c r="AB26" s="104">
        <f t="shared" si="4"/>
        <v>-411.4669999999999</v>
      </c>
      <c r="AC26" s="71"/>
      <c r="AD26" s="67" t="s">
        <v>32</v>
      </c>
      <c r="AE26" s="109">
        <f>$AA$57</f>
        <v>423.03799999999995</v>
      </c>
      <c r="AG26" s="72"/>
    </row>
    <row r="27" spans="2:33" ht="15">
      <c r="B27" s="107" t="s">
        <v>22</v>
      </c>
      <c r="C27" s="108">
        <v>648.06</v>
      </c>
      <c r="D27" s="81"/>
      <c r="E27" s="81"/>
      <c r="F27" s="81">
        <v>0.146</v>
      </c>
      <c r="G27" s="81">
        <v>4.057</v>
      </c>
      <c r="H27" s="81">
        <v>1.381</v>
      </c>
      <c r="I27" s="81">
        <v>15.094</v>
      </c>
      <c r="J27" s="86">
        <v>12.366</v>
      </c>
      <c r="K27" s="81"/>
      <c r="L27" s="81">
        <v>25.277</v>
      </c>
      <c r="M27" s="81"/>
      <c r="N27" s="81"/>
      <c r="O27" s="81"/>
      <c r="P27" s="81"/>
      <c r="Q27" s="81"/>
      <c r="R27" s="110">
        <v>99.748</v>
      </c>
      <c r="S27" s="81">
        <v>22.918</v>
      </c>
      <c r="T27" s="81">
        <v>6.864</v>
      </c>
      <c r="U27" s="81"/>
      <c r="V27" s="86"/>
      <c r="W27" s="86"/>
      <c r="X27" s="86"/>
      <c r="Y27" s="81"/>
      <c r="Z27" s="81"/>
      <c r="AA27" s="81">
        <f>SUM(D27:Z27)</f>
        <v>187.85100000000003</v>
      </c>
      <c r="AB27" s="104">
        <f t="shared" si="4"/>
        <v>-460.20899999999995</v>
      </c>
      <c r="AC27" s="71"/>
      <c r="AD27" s="67" t="s">
        <v>33</v>
      </c>
      <c r="AE27" s="109">
        <f>$AA$49+$AA$70+$AA$75+$AA$76+$AA$80+$AA$72+$AA$74+$AA$77+$AA$78+$AA$79</f>
        <v>5419.2609999999995</v>
      </c>
      <c r="AG27" s="72"/>
    </row>
    <row r="28" spans="2:33" ht="15">
      <c r="B28" s="107" t="s">
        <v>24</v>
      </c>
      <c r="C28" s="108">
        <f>2156.538+26+241.515+45.99+23.461</f>
        <v>2493.5039999999995</v>
      </c>
      <c r="D28" s="81"/>
      <c r="E28" s="81"/>
      <c r="F28" s="81">
        <v>17.319</v>
      </c>
      <c r="G28" s="81">
        <f>64.609+25.748</f>
        <v>90.357</v>
      </c>
      <c r="H28" s="81">
        <f>41.023+84.908</f>
        <v>125.93100000000001</v>
      </c>
      <c r="I28" s="81">
        <f>31.878+45.15</f>
        <v>77.02799999999999</v>
      </c>
      <c r="J28" s="81">
        <v>29.3</v>
      </c>
      <c r="K28" s="81"/>
      <c r="L28" s="81">
        <f>141.22+72.51</f>
        <v>213.73000000000002</v>
      </c>
      <c r="M28" s="81"/>
      <c r="N28" s="81"/>
      <c r="O28" s="81">
        <v>9.989</v>
      </c>
      <c r="P28" s="81">
        <v>14.889</v>
      </c>
      <c r="Q28" s="81"/>
      <c r="R28" s="81">
        <v>47.925</v>
      </c>
      <c r="S28" s="81">
        <f>64.019+2.431</f>
        <v>66.45</v>
      </c>
      <c r="T28" s="81">
        <f>34.576+3.53</f>
        <v>38.106</v>
      </c>
      <c r="U28" s="81"/>
      <c r="V28" s="81"/>
      <c r="W28" s="81"/>
      <c r="X28" s="81"/>
      <c r="Y28" s="81"/>
      <c r="Z28" s="81"/>
      <c r="AA28" s="81">
        <f>SUM(D28:Z28)</f>
        <v>731.024</v>
      </c>
      <c r="AB28" s="104">
        <f t="shared" si="4"/>
        <v>-1762.4799999999996</v>
      </c>
      <c r="AC28" s="71"/>
      <c r="AE28" s="111"/>
      <c r="AG28" s="72"/>
    </row>
    <row r="29" spans="2:33" ht="27.75">
      <c r="B29" s="105" t="s">
        <v>34</v>
      </c>
      <c r="C29" s="106">
        <f>C30</f>
        <v>548.729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22.228</v>
      </c>
      <c r="G29" s="106">
        <f t="shared" si="7"/>
        <v>0</v>
      </c>
      <c r="H29" s="106">
        <f t="shared" si="7"/>
        <v>0</v>
      </c>
      <c r="I29" s="106">
        <f t="shared" si="7"/>
        <v>0.31</v>
      </c>
      <c r="J29" s="106">
        <f t="shared" si="7"/>
        <v>0</v>
      </c>
      <c r="K29" s="106">
        <f t="shared" si="7"/>
        <v>30.733</v>
      </c>
      <c r="L29" s="106">
        <f t="shared" si="7"/>
        <v>0</v>
      </c>
      <c r="M29" s="106">
        <f t="shared" si="7"/>
        <v>0</v>
      </c>
      <c r="N29" s="106">
        <f t="shared" si="7"/>
        <v>0</v>
      </c>
      <c r="O29" s="106">
        <f t="shared" si="7"/>
        <v>0</v>
      </c>
      <c r="P29" s="106">
        <f t="shared" si="7"/>
        <v>0</v>
      </c>
      <c r="Q29" s="106">
        <f t="shared" si="7"/>
        <v>71.983</v>
      </c>
      <c r="R29" s="106">
        <f t="shared" si="7"/>
        <v>0</v>
      </c>
      <c r="S29" s="106">
        <f t="shared" si="7"/>
        <v>0</v>
      </c>
      <c r="T29" s="106">
        <f t="shared" si="7"/>
        <v>0</v>
      </c>
      <c r="U29" s="106">
        <f t="shared" si="7"/>
        <v>0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125.254</v>
      </c>
      <c r="AB29" s="104">
        <f t="shared" si="4"/>
        <v>-423.475</v>
      </c>
      <c r="AC29" s="71"/>
      <c r="AE29" s="111"/>
      <c r="AG29" s="72"/>
    </row>
    <row r="30" spans="2:31" ht="15">
      <c r="B30" s="112" t="s">
        <v>35</v>
      </c>
      <c r="C30" s="113">
        <v>548.729</v>
      </c>
      <c r="D30" s="86"/>
      <c r="E30" s="86"/>
      <c r="F30" s="86">
        <v>22.228</v>
      </c>
      <c r="G30" s="86"/>
      <c r="H30" s="86"/>
      <c r="I30" s="86">
        <v>0.31</v>
      </c>
      <c r="J30" s="86"/>
      <c r="K30" s="86">
        <v>30.733</v>
      </c>
      <c r="L30" s="86"/>
      <c r="M30" s="86"/>
      <c r="N30" s="86"/>
      <c r="O30" s="86"/>
      <c r="P30" s="86"/>
      <c r="Q30" s="86">
        <v>71.983</v>
      </c>
      <c r="R30" s="86"/>
      <c r="S30" s="86"/>
      <c r="T30" s="86"/>
      <c r="U30" s="86"/>
      <c r="V30" s="86"/>
      <c r="W30" s="86"/>
      <c r="X30" s="86"/>
      <c r="Y30" s="113"/>
      <c r="Z30" s="113"/>
      <c r="AA30" s="81">
        <f>SUM(D30:Z30)</f>
        <v>125.254</v>
      </c>
      <c r="AB30" s="104">
        <f t="shared" si="4"/>
        <v>-423.475</v>
      </c>
      <c r="AE30" s="111"/>
    </row>
    <row r="31" spans="2:31" ht="42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0</v>
      </c>
      <c r="AE31" s="111"/>
    </row>
    <row r="32" spans="1:40" s="66" customFormat="1" ht="27.75">
      <c r="A32" s="66" t="s">
        <v>37</v>
      </c>
      <c r="B32" s="105" t="s">
        <v>38</v>
      </c>
      <c r="C32" s="106">
        <v>752.902</v>
      </c>
      <c r="D32" s="106"/>
      <c r="E32" s="106"/>
      <c r="F32" s="106">
        <v>6.441</v>
      </c>
      <c r="G32" s="106">
        <v>11.646</v>
      </c>
      <c r="H32" s="106">
        <f>8+49.32</f>
        <v>57.32</v>
      </c>
      <c r="I32" s="106"/>
      <c r="J32" s="106"/>
      <c r="K32" s="106">
        <v>2.265</v>
      </c>
      <c r="L32" s="106"/>
      <c r="M32" s="106">
        <v>228.7</v>
      </c>
      <c r="N32" s="106"/>
      <c r="O32" s="106">
        <v>4.5</v>
      </c>
      <c r="P32" s="106">
        <v>9.25</v>
      </c>
      <c r="Q32" s="106">
        <v>1.01</v>
      </c>
      <c r="R32" s="106"/>
      <c r="S32" s="106"/>
      <c r="T32" s="106">
        <v>14.58</v>
      </c>
      <c r="U32" s="114"/>
      <c r="V32" s="114"/>
      <c r="W32" s="114"/>
      <c r="X32" s="106"/>
      <c r="Y32" s="106"/>
      <c r="Z32" s="106"/>
      <c r="AA32" s="106">
        <f>SUM(D32:Z32)</f>
        <v>335.71199999999993</v>
      </c>
      <c r="AB32" s="104">
        <f t="shared" si="4"/>
        <v>-417.1900000000001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2">
      <c r="B33" s="105" t="s">
        <v>39</v>
      </c>
      <c r="C33" s="106">
        <v>611.593</v>
      </c>
      <c r="D33" s="106"/>
      <c r="E33" s="106"/>
      <c r="F33" s="106"/>
      <c r="G33" s="106">
        <v>118.325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14"/>
      <c r="U33" s="106"/>
      <c r="V33" s="106"/>
      <c r="W33" s="106"/>
      <c r="X33" s="106"/>
      <c r="Y33" s="106"/>
      <c r="Z33" s="106"/>
      <c r="AA33" s="106">
        <f>SUM(D33:Z33)</f>
        <v>118.325</v>
      </c>
      <c r="AB33" s="104">
        <f t="shared" si="4"/>
        <v>-493.268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42">
      <c r="B34" s="105" t="s">
        <v>41</v>
      </c>
      <c r="C34" s="106">
        <v>67.622</v>
      </c>
      <c r="D34" s="106"/>
      <c r="E34" s="106"/>
      <c r="F34" s="106">
        <v>38.804</v>
      </c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38.804</v>
      </c>
      <c r="AB34" s="104">
        <f t="shared" si="4"/>
        <v>-28.817999999999998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">
      <c r="B35" s="105" t="s">
        <v>42</v>
      </c>
      <c r="C35" s="106">
        <f>SUM(C36:C40)</f>
        <v>644.706</v>
      </c>
      <c r="D35" s="106">
        <f>SUM(D36:D40)</f>
        <v>0</v>
      </c>
      <c r="E35" s="106">
        <f>SUM(E36:E40)</f>
        <v>0</v>
      </c>
      <c r="F35" s="106">
        <f>SUM(F36:F40)</f>
        <v>0</v>
      </c>
      <c r="G35" s="106">
        <f aca="true" t="shared" si="8" ref="G35:S35">SUM(G36:G40)</f>
        <v>13.952000000000002</v>
      </c>
      <c r="H35" s="106">
        <f t="shared" si="8"/>
        <v>0</v>
      </c>
      <c r="I35" s="106">
        <f t="shared" si="8"/>
        <v>0</v>
      </c>
      <c r="J35" s="106">
        <f t="shared" si="8"/>
        <v>0</v>
      </c>
      <c r="K35" s="106">
        <f t="shared" si="8"/>
        <v>0</v>
      </c>
      <c r="L35" s="106">
        <f t="shared" si="8"/>
        <v>200.74900000000002</v>
      </c>
      <c r="M35" s="106">
        <f t="shared" si="8"/>
        <v>0</v>
      </c>
      <c r="N35" s="106">
        <f t="shared" si="8"/>
        <v>0</v>
      </c>
      <c r="O35" s="106">
        <f t="shared" si="8"/>
        <v>0</v>
      </c>
      <c r="P35" s="106">
        <f t="shared" si="8"/>
        <v>0</v>
      </c>
      <c r="Q35" s="106">
        <f t="shared" si="8"/>
        <v>6.44</v>
      </c>
      <c r="R35" s="106">
        <f t="shared" si="8"/>
        <v>0</v>
      </c>
      <c r="S35" s="106">
        <f t="shared" si="8"/>
        <v>305.887</v>
      </c>
      <c r="T35" s="106">
        <f>SUM(T36:T40)</f>
        <v>0</v>
      </c>
      <c r="U35" s="106">
        <f>SUM(U36:U40)</f>
        <v>0</v>
      </c>
      <c r="V35" s="106">
        <f aca="true" t="shared" si="9" ref="V35:AA35">SUM(V36:V40)</f>
        <v>0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527.028</v>
      </c>
      <c r="AB35" s="104">
        <f t="shared" si="4"/>
        <v>-117.678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">
      <c r="B36" s="107" t="s">
        <v>20</v>
      </c>
      <c r="C36" s="108">
        <v>549.904</v>
      </c>
      <c r="D36" s="81"/>
      <c r="E36" s="81"/>
      <c r="F36" s="81"/>
      <c r="G36" s="81">
        <v>4.836</v>
      </c>
      <c r="H36" s="81"/>
      <c r="I36" s="81"/>
      <c r="J36" s="86"/>
      <c r="K36" s="81"/>
      <c r="L36" s="81">
        <v>199.372</v>
      </c>
      <c r="M36" s="81"/>
      <c r="N36" s="81"/>
      <c r="O36" s="81"/>
      <c r="P36" s="110"/>
      <c r="Q36" s="81"/>
      <c r="R36" s="110"/>
      <c r="S36" s="81">
        <v>302.587</v>
      </c>
      <c r="T36" s="81"/>
      <c r="U36" s="81"/>
      <c r="V36" s="86"/>
      <c r="W36" s="86"/>
      <c r="X36" s="81"/>
      <c r="Y36" s="81"/>
      <c r="Z36" s="81"/>
      <c r="AA36" s="81">
        <f>SUM(D36:Z36)</f>
        <v>506.795</v>
      </c>
      <c r="AB36" s="104">
        <f t="shared" si="4"/>
        <v>-43.10899999999998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">
      <c r="B37" s="107" t="s">
        <v>29</v>
      </c>
      <c r="C37" s="108">
        <v>2.405</v>
      </c>
      <c r="D37" s="81"/>
      <c r="E37" s="81"/>
      <c r="F37" s="81"/>
      <c r="G37" s="81">
        <v>1.794</v>
      </c>
      <c r="H37" s="81"/>
      <c r="I37" s="81"/>
      <c r="J37" s="86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1.794</v>
      </c>
      <c r="AB37" s="104">
        <f t="shared" si="4"/>
        <v>-0.6109999999999998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/>
      <c r="R38" s="110"/>
      <c r="S38" s="81">
        <v>3.3</v>
      </c>
      <c r="T38" s="81"/>
      <c r="U38" s="81"/>
      <c r="V38" s="86"/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">
      <c r="B39" s="107" t="s">
        <v>22</v>
      </c>
      <c r="C39" s="108">
        <v>14.046</v>
      </c>
      <c r="D39" s="81"/>
      <c r="E39" s="81"/>
      <c r="F39" s="81"/>
      <c r="G39" s="81">
        <v>1.589</v>
      </c>
      <c r="H39" s="81"/>
      <c r="I39" s="81"/>
      <c r="J39" s="81"/>
      <c r="K39" s="81"/>
      <c r="L39" s="81"/>
      <c r="M39" s="81"/>
      <c r="N39" s="81"/>
      <c r="O39" s="81"/>
      <c r="P39" s="110"/>
      <c r="Q39" s="81">
        <v>2.306</v>
      </c>
      <c r="R39" s="110"/>
      <c r="S39" s="81"/>
      <c r="T39" s="81"/>
      <c r="U39" s="81"/>
      <c r="V39" s="86"/>
      <c r="W39" s="86"/>
      <c r="X39" s="81"/>
      <c r="Y39" s="81"/>
      <c r="Z39" s="81"/>
      <c r="AA39" s="81">
        <f>SUM(D39:Z39)</f>
        <v>3.895</v>
      </c>
      <c r="AB39" s="104">
        <f t="shared" si="4"/>
        <v>-10.151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">
      <c r="B40" s="107" t="s">
        <v>24</v>
      </c>
      <c r="C40" s="108">
        <f>15.111+59.94</f>
        <v>75.051</v>
      </c>
      <c r="D40" s="81"/>
      <c r="E40" s="81"/>
      <c r="F40" s="81"/>
      <c r="G40" s="81">
        <v>5.733</v>
      </c>
      <c r="H40" s="81"/>
      <c r="I40" s="81"/>
      <c r="J40" s="81"/>
      <c r="K40" s="81"/>
      <c r="L40" s="81">
        <v>1.377</v>
      </c>
      <c r="M40" s="81"/>
      <c r="N40" s="81"/>
      <c r="O40" s="81"/>
      <c r="P40" s="81"/>
      <c r="Q40" s="81">
        <v>4.134</v>
      </c>
      <c r="R40" s="81"/>
      <c r="S40" s="81"/>
      <c r="T40" s="81"/>
      <c r="U40" s="81"/>
      <c r="V40" s="81"/>
      <c r="W40" s="81"/>
      <c r="X40" s="81"/>
      <c r="Y40" s="81"/>
      <c r="Z40" s="81"/>
      <c r="AA40" s="81">
        <f>SUM(D40:Z40)</f>
        <v>11.244</v>
      </c>
      <c r="AB40" s="104">
        <f t="shared" si="4"/>
        <v>-63.807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">
      <c r="B41" s="105" t="s">
        <v>43</v>
      </c>
      <c r="C41" s="106">
        <f aca="true" t="shared" si="10" ref="C41:S41">SUM(C42:C44)</f>
        <v>310.60400000000004</v>
      </c>
      <c r="D41" s="106">
        <f t="shared" si="10"/>
        <v>0</v>
      </c>
      <c r="E41" s="106">
        <f t="shared" si="10"/>
        <v>0</v>
      </c>
      <c r="F41" s="106">
        <f t="shared" si="10"/>
        <v>0</v>
      </c>
      <c r="G41" s="106">
        <f t="shared" si="10"/>
        <v>0</v>
      </c>
      <c r="H41" s="106">
        <f t="shared" si="10"/>
        <v>0</v>
      </c>
      <c r="I41" s="106">
        <f t="shared" si="10"/>
        <v>52.400999999999996</v>
      </c>
      <c r="J41" s="106">
        <f t="shared" si="10"/>
        <v>0</v>
      </c>
      <c r="K41" s="106">
        <f t="shared" si="10"/>
        <v>0</v>
      </c>
      <c r="L41" s="106">
        <f t="shared" si="10"/>
        <v>0</v>
      </c>
      <c r="M41" s="106">
        <f t="shared" si="10"/>
        <v>0</v>
      </c>
      <c r="N41" s="106">
        <f t="shared" si="10"/>
        <v>0</v>
      </c>
      <c r="O41" s="106">
        <f t="shared" si="10"/>
        <v>0</v>
      </c>
      <c r="P41" s="106">
        <f t="shared" si="10"/>
        <v>1.194</v>
      </c>
      <c r="Q41" s="106">
        <f t="shared" si="10"/>
        <v>0</v>
      </c>
      <c r="R41" s="106">
        <f t="shared" si="10"/>
        <v>0</v>
      </c>
      <c r="S41" s="106">
        <f t="shared" si="10"/>
        <v>65.156</v>
      </c>
      <c r="T41" s="106">
        <f>SUM(T42:T44)</f>
        <v>0</v>
      </c>
      <c r="U41" s="106">
        <f>SUM(U42:U44)</f>
        <v>0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118.751</v>
      </c>
      <c r="AB41" s="104">
        <f t="shared" si="4"/>
        <v>-191.85300000000004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">
      <c r="B42" s="107" t="s">
        <v>20</v>
      </c>
      <c r="C42" s="108">
        <f>248.599+31+8.6</f>
        <v>288.199</v>
      </c>
      <c r="D42" s="81"/>
      <c r="E42" s="81"/>
      <c r="F42" s="81"/>
      <c r="G42" s="81"/>
      <c r="H42" s="81"/>
      <c r="I42" s="81">
        <f>30.37+19.6</f>
        <v>49.97</v>
      </c>
      <c r="J42" s="86"/>
      <c r="K42" s="81"/>
      <c r="L42" s="81"/>
      <c r="M42" s="81"/>
      <c r="N42" s="81"/>
      <c r="O42" s="81"/>
      <c r="P42" s="110"/>
      <c r="Q42" s="81"/>
      <c r="R42" s="110"/>
      <c r="S42" s="81">
        <f>42.327+21.692</f>
        <v>64.019</v>
      </c>
      <c r="T42" s="81"/>
      <c r="U42" s="81"/>
      <c r="V42" s="86"/>
      <c r="W42" s="86"/>
      <c r="X42" s="81"/>
      <c r="Y42" s="81"/>
      <c r="Z42" s="81"/>
      <c r="AA42" s="81">
        <f>SUM(D42:Z42)</f>
        <v>113.989</v>
      </c>
      <c r="AB42" s="104">
        <f t="shared" si="4"/>
        <v>-174.21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">
      <c r="B43" s="107" t="s">
        <v>22</v>
      </c>
      <c r="C43" s="108">
        <v>11.99</v>
      </c>
      <c r="D43" s="81"/>
      <c r="E43" s="81"/>
      <c r="F43" s="81"/>
      <c r="G43" s="81"/>
      <c r="H43" s="81"/>
      <c r="I43" s="81"/>
      <c r="J43" s="86"/>
      <c r="K43" s="81"/>
      <c r="L43" s="81"/>
      <c r="M43" s="81"/>
      <c r="N43" s="81"/>
      <c r="O43" s="81"/>
      <c r="P43" s="81">
        <v>1.194</v>
      </c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1.194</v>
      </c>
      <c r="AB43" s="104">
        <f t="shared" si="4"/>
        <v>-10.796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">
      <c r="B44" s="107" t="s">
        <v>24</v>
      </c>
      <c r="C44" s="108">
        <v>10.415</v>
      </c>
      <c r="D44" s="81"/>
      <c r="E44" s="81"/>
      <c r="F44" s="81"/>
      <c r="G44" s="81"/>
      <c r="H44" s="81"/>
      <c r="I44" s="81">
        <v>2.431</v>
      </c>
      <c r="J44" s="81"/>
      <c r="K44" s="81"/>
      <c r="L44" s="81"/>
      <c r="M44" s="81"/>
      <c r="N44" s="81"/>
      <c r="O44" s="81"/>
      <c r="P44" s="81"/>
      <c r="Q44" s="81"/>
      <c r="R44" s="81"/>
      <c r="S44" s="81">
        <v>1.137</v>
      </c>
      <c r="T44" s="81"/>
      <c r="U44" s="81"/>
      <c r="V44" s="81"/>
      <c r="W44" s="81"/>
      <c r="X44" s="81"/>
      <c r="Y44" s="81"/>
      <c r="Z44" s="81"/>
      <c r="AA44" s="81">
        <f>SUM(D44:Z44)</f>
        <v>3.568</v>
      </c>
      <c r="AB44" s="104">
        <f t="shared" si="4"/>
        <v>-6.8469999999999995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">
      <c r="B45" s="105" t="s">
        <v>44</v>
      </c>
      <c r="C45" s="106">
        <f aca="true" t="shared" si="12" ref="C45:Y45">SUM(C46:C48)</f>
        <v>247.139</v>
      </c>
      <c r="D45" s="106">
        <f t="shared" si="12"/>
        <v>0</v>
      </c>
      <c r="E45" s="106">
        <f t="shared" si="12"/>
        <v>0</v>
      </c>
      <c r="F45" s="106">
        <f t="shared" si="12"/>
        <v>40.84</v>
      </c>
      <c r="G45" s="106">
        <f t="shared" si="12"/>
        <v>0</v>
      </c>
      <c r="H45" s="106">
        <f t="shared" si="12"/>
        <v>0</v>
      </c>
      <c r="I45" s="106">
        <f t="shared" si="12"/>
        <v>0</v>
      </c>
      <c r="J45" s="106">
        <f t="shared" si="12"/>
        <v>0</v>
      </c>
      <c r="K45" s="106">
        <f t="shared" si="12"/>
        <v>0</v>
      </c>
      <c r="L45" s="106">
        <f t="shared" si="12"/>
        <v>0</v>
      </c>
      <c r="M45" s="106">
        <f t="shared" si="12"/>
        <v>0</v>
      </c>
      <c r="N45" s="106">
        <f t="shared" si="12"/>
        <v>0</v>
      </c>
      <c r="O45" s="106">
        <f t="shared" si="12"/>
        <v>0</v>
      </c>
      <c r="P45" s="106">
        <f t="shared" si="12"/>
        <v>0</v>
      </c>
      <c r="Q45" s="106">
        <f t="shared" si="12"/>
        <v>39.262</v>
      </c>
      <c r="R45" s="106">
        <f t="shared" si="12"/>
        <v>0</v>
      </c>
      <c r="S45" s="106">
        <f t="shared" si="12"/>
        <v>0</v>
      </c>
      <c r="T45" s="106">
        <f>SUM(T46:T48)</f>
        <v>0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80.102</v>
      </c>
      <c r="AB45" s="104">
        <f t="shared" si="4"/>
        <v>-167.037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">
      <c r="B46" s="107" t="s">
        <v>20</v>
      </c>
      <c r="C46" s="108">
        <v>239.286</v>
      </c>
      <c r="D46" s="81"/>
      <c r="E46" s="81"/>
      <c r="F46" s="81">
        <v>40.84</v>
      </c>
      <c r="G46" s="81"/>
      <c r="H46" s="81"/>
      <c r="I46" s="81"/>
      <c r="J46" s="86"/>
      <c r="K46" s="81"/>
      <c r="L46" s="81"/>
      <c r="M46" s="81"/>
      <c r="N46" s="81"/>
      <c r="O46" s="81"/>
      <c r="P46" s="81"/>
      <c r="Q46" s="81">
        <v>39.262</v>
      </c>
      <c r="R46" s="110"/>
      <c r="S46" s="81"/>
      <c r="T46" s="81"/>
      <c r="U46" s="81"/>
      <c r="V46" s="86"/>
      <c r="W46" s="86"/>
      <c r="X46" s="86"/>
      <c r="Y46" s="86"/>
      <c r="Z46" s="86"/>
      <c r="AA46" s="81">
        <f>SUM(D46:Z46)</f>
        <v>80.102</v>
      </c>
      <c r="AB46" s="104">
        <f t="shared" si="4"/>
        <v>-159.184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">
      <c r="B47" s="107" t="s">
        <v>22</v>
      </c>
      <c r="C47" s="108">
        <v>4</v>
      </c>
      <c r="D47" s="81"/>
      <c r="E47" s="81"/>
      <c r="F47" s="81"/>
      <c r="G47" s="81"/>
      <c r="H47" s="81"/>
      <c r="I47" s="81"/>
      <c r="J47" s="86"/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0</v>
      </c>
      <c r="AB47" s="104">
        <f t="shared" si="4"/>
        <v>-4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">
      <c r="B48" s="107" t="s">
        <v>24</v>
      </c>
      <c r="C48" s="108">
        <v>3.853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0</v>
      </c>
      <c r="AB48" s="104">
        <f t="shared" si="4"/>
        <v>-3.853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">
      <c r="A49" s="66">
        <v>90501</v>
      </c>
      <c r="B49" s="105" t="s">
        <v>45</v>
      </c>
      <c r="C49" s="106">
        <f>C50+C51</f>
        <v>95.375</v>
      </c>
      <c r="D49" s="106">
        <f aca="true" t="shared" si="13" ref="D49:Y49">D50+D51</f>
        <v>0</v>
      </c>
      <c r="E49" s="106">
        <f t="shared" si="13"/>
        <v>5.176</v>
      </c>
      <c r="F49" s="106">
        <f t="shared" si="13"/>
        <v>0</v>
      </c>
      <c r="G49" s="106">
        <f t="shared" si="13"/>
        <v>0</v>
      </c>
      <c r="H49" s="106">
        <f t="shared" si="13"/>
        <v>0</v>
      </c>
      <c r="I49" s="106">
        <f t="shared" si="13"/>
        <v>0.453</v>
      </c>
      <c r="J49" s="106">
        <f t="shared" si="13"/>
        <v>0</v>
      </c>
      <c r="K49" s="106">
        <f t="shared" si="13"/>
        <v>0</v>
      </c>
      <c r="L49" s="106">
        <f t="shared" si="13"/>
        <v>4.2</v>
      </c>
      <c r="M49" s="106">
        <f t="shared" si="13"/>
        <v>0.604</v>
      </c>
      <c r="N49" s="106">
        <f t="shared" si="13"/>
        <v>0</v>
      </c>
      <c r="O49" s="106">
        <f t="shared" si="13"/>
        <v>0</v>
      </c>
      <c r="P49" s="106">
        <f t="shared" si="13"/>
        <v>0</v>
      </c>
      <c r="Q49" s="106">
        <f t="shared" si="13"/>
        <v>39.851</v>
      </c>
      <c r="R49" s="106">
        <f t="shared" si="13"/>
        <v>0</v>
      </c>
      <c r="S49" s="106">
        <f t="shared" si="13"/>
        <v>0</v>
      </c>
      <c r="T49" s="106">
        <f>T50+T51</f>
        <v>11.188</v>
      </c>
      <c r="U49" s="106">
        <f>U50+U51</f>
        <v>0</v>
      </c>
      <c r="V49" s="106">
        <f t="shared" si="13"/>
        <v>0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61.472</v>
      </c>
      <c r="AB49" s="104">
        <f t="shared" si="4"/>
        <v>-33.903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">
      <c r="B50" s="107" t="s">
        <v>20</v>
      </c>
      <c r="C50" s="113">
        <v>79.25</v>
      </c>
      <c r="D50" s="86"/>
      <c r="E50" s="86"/>
      <c r="F50" s="86"/>
      <c r="G50" s="86"/>
      <c r="H50" s="86"/>
      <c r="I50" s="86"/>
      <c r="J50" s="86"/>
      <c r="K50" s="86"/>
      <c r="L50" s="86">
        <v>4.2</v>
      </c>
      <c r="M50" s="86"/>
      <c r="N50" s="86"/>
      <c r="O50" s="86"/>
      <c r="P50" s="86"/>
      <c r="Q50" s="86">
        <v>39.851</v>
      </c>
      <c r="R50" s="86"/>
      <c r="S50" s="86"/>
      <c r="T50" s="86">
        <v>11.188</v>
      </c>
      <c r="U50" s="86"/>
      <c r="V50" s="86"/>
      <c r="W50" s="86"/>
      <c r="X50" s="86"/>
      <c r="Y50" s="86"/>
      <c r="Z50" s="86"/>
      <c r="AA50" s="81">
        <f>SUM(D50:Z50)</f>
        <v>55.239000000000004</v>
      </c>
      <c r="AB50" s="104">
        <f t="shared" si="4"/>
        <v>-24.010999999999996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">
      <c r="B51" s="107" t="s">
        <v>35</v>
      </c>
      <c r="C51" s="113">
        <v>16.125</v>
      </c>
      <c r="D51" s="86"/>
      <c r="E51" s="86">
        <v>5.176</v>
      </c>
      <c r="F51" s="86"/>
      <c r="G51" s="86"/>
      <c r="H51" s="86"/>
      <c r="I51" s="86">
        <v>0.453</v>
      </c>
      <c r="J51" s="86"/>
      <c r="K51" s="86"/>
      <c r="L51" s="86"/>
      <c r="M51" s="86">
        <v>0.604</v>
      </c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6.2330000000000005</v>
      </c>
      <c r="AB51" s="104">
        <f t="shared" si="4"/>
        <v>-9.892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">
      <c r="A52" s="66">
        <v>110000</v>
      </c>
      <c r="B52" s="105" t="s">
        <v>46</v>
      </c>
      <c r="C52" s="106">
        <f aca="true" t="shared" si="14" ref="C52:AA52">SUM(C53:C56)</f>
        <v>1252.476</v>
      </c>
      <c r="D52" s="106">
        <f t="shared" si="14"/>
        <v>0</v>
      </c>
      <c r="E52" s="106">
        <f t="shared" si="14"/>
        <v>3.787</v>
      </c>
      <c r="F52" s="106">
        <f t="shared" si="14"/>
        <v>0</v>
      </c>
      <c r="G52" s="106">
        <f t="shared" si="14"/>
        <v>4.845</v>
      </c>
      <c r="H52" s="106">
        <f t="shared" si="14"/>
        <v>1.465</v>
      </c>
      <c r="I52" s="106">
        <f t="shared" si="14"/>
        <v>0.367</v>
      </c>
      <c r="J52" s="106">
        <f t="shared" si="14"/>
        <v>147.32299999999998</v>
      </c>
      <c r="K52" s="106">
        <f t="shared" si="14"/>
        <v>40.9</v>
      </c>
      <c r="L52" s="106">
        <f t="shared" si="14"/>
        <v>2.346</v>
      </c>
      <c r="M52" s="106">
        <f t="shared" si="14"/>
        <v>0</v>
      </c>
      <c r="N52" s="106">
        <f t="shared" si="14"/>
        <v>0</v>
      </c>
      <c r="O52" s="106">
        <f t="shared" si="14"/>
        <v>13.349</v>
      </c>
      <c r="P52" s="106">
        <f t="shared" si="14"/>
        <v>266.305</v>
      </c>
      <c r="Q52" s="106">
        <f t="shared" si="14"/>
        <v>5.329</v>
      </c>
      <c r="R52" s="106">
        <f t="shared" si="14"/>
        <v>19.497999999999998</v>
      </c>
      <c r="S52" s="106">
        <f t="shared" si="14"/>
        <v>7.7</v>
      </c>
      <c r="T52" s="106">
        <f>SUM(T53:T56)</f>
        <v>257.431</v>
      </c>
      <c r="U52" s="106">
        <f t="shared" si="14"/>
        <v>0</v>
      </c>
      <c r="V52" s="106">
        <f t="shared" si="14"/>
        <v>0</v>
      </c>
      <c r="W52" s="106">
        <f t="shared" si="14"/>
        <v>0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770.645</v>
      </c>
      <c r="AB52" s="104">
        <f t="shared" si="4"/>
        <v>-481.83100000000013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">
      <c r="B53" s="107" t="s">
        <v>20</v>
      </c>
      <c r="C53" s="108">
        <v>838.283</v>
      </c>
      <c r="D53" s="81"/>
      <c r="E53" s="81">
        <v>2.947</v>
      </c>
      <c r="F53" s="81"/>
      <c r="G53" s="81"/>
      <c r="H53" s="81"/>
      <c r="I53" s="81"/>
      <c r="J53" s="86">
        <v>144.789</v>
      </c>
      <c r="K53" s="81"/>
      <c r="L53" s="81"/>
      <c r="M53" s="81"/>
      <c r="N53" s="81"/>
      <c r="O53" s="81"/>
      <c r="P53" s="110">
        <v>219.429</v>
      </c>
      <c r="Q53" s="81"/>
      <c r="R53" s="110">
        <v>15.469</v>
      </c>
      <c r="S53" s="81"/>
      <c r="T53" s="81">
        <v>257.335</v>
      </c>
      <c r="U53" s="81"/>
      <c r="V53" s="86"/>
      <c r="W53" s="86"/>
      <c r="X53" s="86"/>
      <c r="Y53" s="81"/>
      <c r="Z53" s="81"/>
      <c r="AA53" s="81">
        <f>SUM(D53:Z53)</f>
        <v>639.9689999999999</v>
      </c>
      <c r="AB53" s="104">
        <f t="shared" si="4"/>
        <v>-198.31400000000008</v>
      </c>
    </row>
    <row r="54" spans="2:28" ht="15">
      <c r="B54" s="107" t="s">
        <v>22</v>
      </c>
      <c r="C54" s="108">
        <f>73.287-6</f>
        <v>67.287</v>
      </c>
      <c r="D54" s="81"/>
      <c r="E54" s="81"/>
      <c r="F54" s="81"/>
      <c r="G54" s="81"/>
      <c r="H54" s="81"/>
      <c r="I54" s="81"/>
      <c r="J54" s="86"/>
      <c r="K54" s="81"/>
      <c r="L54" s="81"/>
      <c r="M54" s="81"/>
      <c r="N54" s="81"/>
      <c r="O54" s="81"/>
      <c r="P54" s="110">
        <v>2.544</v>
      </c>
      <c r="Q54" s="81"/>
      <c r="R54" s="110"/>
      <c r="S54" s="81"/>
      <c r="T54" s="81"/>
      <c r="U54" s="81"/>
      <c r="V54" s="86"/>
      <c r="W54" s="86"/>
      <c r="X54" s="86"/>
      <c r="Y54" s="81"/>
      <c r="Z54" s="81"/>
      <c r="AA54" s="81">
        <f>SUM(D54:Z54)</f>
        <v>2.544</v>
      </c>
      <c r="AB54" s="104">
        <f t="shared" si="4"/>
        <v>-64.74300000000001</v>
      </c>
    </row>
    <row r="55" spans="2:28" ht="15">
      <c r="B55" s="107" t="s">
        <v>47</v>
      </c>
      <c r="C55" s="108">
        <v>6.62</v>
      </c>
      <c r="D55" s="81"/>
      <c r="E55" s="81"/>
      <c r="F55" s="81"/>
      <c r="G55" s="81">
        <v>0.782</v>
      </c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/>
      <c r="V55" s="86"/>
      <c r="W55" s="86"/>
      <c r="X55" s="86"/>
      <c r="Y55" s="81"/>
      <c r="Z55" s="81"/>
      <c r="AA55" s="81">
        <f>SUM(D55:Z55)</f>
        <v>0.782</v>
      </c>
      <c r="AB55" s="104">
        <f t="shared" si="4"/>
        <v>-5.838</v>
      </c>
    </row>
    <row r="56" spans="2:29" ht="15">
      <c r="B56" s="107" t="s">
        <v>24</v>
      </c>
      <c r="C56" s="108">
        <f>297.749+42.537</f>
        <v>340.286</v>
      </c>
      <c r="D56" s="81"/>
      <c r="E56" s="81">
        <v>0.84</v>
      </c>
      <c r="F56" s="81"/>
      <c r="G56" s="81">
        <v>4.063</v>
      </c>
      <c r="H56" s="81">
        <v>1.465</v>
      </c>
      <c r="I56" s="81">
        <v>0.367</v>
      </c>
      <c r="J56" s="81">
        <v>2.534</v>
      </c>
      <c r="K56" s="81">
        <v>40.9</v>
      </c>
      <c r="L56" s="81">
        <v>2.346</v>
      </c>
      <c r="M56" s="81"/>
      <c r="N56" s="81"/>
      <c r="O56" s="81">
        <v>13.349</v>
      </c>
      <c r="P56" s="81">
        <v>44.332</v>
      </c>
      <c r="Q56" s="81">
        <v>5.329</v>
      </c>
      <c r="R56" s="81">
        <v>4.029</v>
      </c>
      <c r="S56" s="81">
        <v>7.7</v>
      </c>
      <c r="T56" s="81">
        <v>0.096</v>
      </c>
      <c r="U56" s="81"/>
      <c r="V56" s="81"/>
      <c r="W56" s="81"/>
      <c r="X56" s="81"/>
      <c r="Y56" s="81"/>
      <c r="Z56" s="81"/>
      <c r="AA56" s="81">
        <f>SUM(D56:Z56)</f>
        <v>127.35</v>
      </c>
      <c r="AB56" s="104">
        <f t="shared" si="4"/>
        <v>-212.936</v>
      </c>
      <c r="AC56" s="66"/>
    </row>
    <row r="57" spans="1:40" s="66" customFormat="1" ht="15">
      <c r="A57" s="66">
        <v>130000</v>
      </c>
      <c r="B57" s="105" t="s">
        <v>48</v>
      </c>
      <c r="C57" s="106">
        <f>SUM(C58:C62)</f>
        <v>1195.2685099999999</v>
      </c>
      <c r="D57" s="106">
        <f aca="true" t="shared" si="15" ref="D57:AA57">SUM(D58:D62)</f>
        <v>0</v>
      </c>
      <c r="E57" s="106">
        <f t="shared" si="15"/>
        <v>0</v>
      </c>
      <c r="F57" s="106">
        <f t="shared" si="15"/>
        <v>0.42</v>
      </c>
      <c r="G57" s="106">
        <f t="shared" si="15"/>
        <v>0</v>
      </c>
      <c r="H57" s="106">
        <f t="shared" si="15"/>
        <v>20.939</v>
      </c>
      <c r="I57" s="106">
        <f t="shared" si="15"/>
        <v>0</v>
      </c>
      <c r="J57" s="106">
        <f t="shared" si="15"/>
        <v>0</v>
      </c>
      <c r="K57" s="106">
        <f t="shared" si="15"/>
        <v>95.394</v>
      </c>
      <c r="L57" s="106">
        <f t="shared" si="15"/>
        <v>0.845</v>
      </c>
      <c r="M57" s="106">
        <f t="shared" si="15"/>
        <v>0</v>
      </c>
      <c r="N57" s="106">
        <f t="shared" si="15"/>
        <v>0</v>
      </c>
      <c r="O57" s="106">
        <f t="shared" si="15"/>
        <v>3.8</v>
      </c>
      <c r="P57" s="106">
        <f t="shared" si="15"/>
        <v>0.766</v>
      </c>
      <c r="Q57" s="106">
        <f t="shared" si="15"/>
        <v>16.198</v>
      </c>
      <c r="R57" s="106">
        <f t="shared" si="15"/>
        <v>22.673</v>
      </c>
      <c r="S57" s="106">
        <f t="shared" si="15"/>
        <v>261.009</v>
      </c>
      <c r="T57" s="106">
        <f>SUM(T58:T62)</f>
        <v>1.52</v>
      </c>
      <c r="U57" s="106">
        <f>SUM(U58:U62)</f>
        <v>-0.526</v>
      </c>
      <c r="V57" s="106">
        <f t="shared" si="15"/>
        <v>0</v>
      </c>
      <c r="W57" s="106">
        <f t="shared" si="15"/>
        <v>0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423.03799999999995</v>
      </c>
      <c r="AB57" s="104">
        <f t="shared" si="4"/>
        <v>-772.2305099999999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">
      <c r="B58" s="107" t="s">
        <v>20</v>
      </c>
      <c r="C58" s="108">
        <v>759.287</v>
      </c>
      <c r="D58" s="81"/>
      <c r="E58" s="81"/>
      <c r="F58" s="81"/>
      <c r="G58" s="81"/>
      <c r="H58" s="81"/>
      <c r="I58" s="81"/>
      <c r="J58" s="110"/>
      <c r="K58" s="81">
        <v>84.045</v>
      </c>
      <c r="L58" s="81"/>
      <c r="M58" s="81"/>
      <c r="N58" s="81"/>
      <c r="O58" s="81"/>
      <c r="P58" s="110"/>
      <c r="Q58" s="81"/>
      <c r="R58" s="110"/>
      <c r="S58" s="81">
        <v>227.029</v>
      </c>
      <c r="T58" s="81"/>
      <c r="U58" s="81"/>
      <c r="V58" s="86"/>
      <c r="W58" s="86"/>
      <c r="X58" s="81"/>
      <c r="Y58" s="81"/>
      <c r="Z58" s="81"/>
      <c r="AA58" s="81">
        <f>SUM(D58:Z58)</f>
        <v>311.074</v>
      </c>
      <c r="AB58" s="104">
        <f t="shared" si="4"/>
        <v>-448.213</v>
      </c>
    </row>
    <row r="59" spans="2:28" ht="15">
      <c r="B59" s="107" t="s">
        <v>29</v>
      </c>
      <c r="C59" s="108">
        <v>0.00051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/>
      <c r="V59" s="86"/>
      <c r="W59" s="86"/>
      <c r="X59" s="81"/>
      <c r="Y59" s="81"/>
      <c r="Z59" s="81"/>
      <c r="AA59" s="81">
        <f>SUM(D59:Z59)</f>
        <v>0</v>
      </c>
      <c r="AB59" s="104">
        <f t="shared" si="4"/>
        <v>-0.00051</v>
      </c>
    </row>
    <row r="60" spans="2:28" ht="15">
      <c r="B60" s="107" t="s">
        <v>22</v>
      </c>
      <c r="C60" s="108">
        <v>37.305</v>
      </c>
      <c r="D60" s="81"/>
      <c r="E60" s="81"/>
      <c r="F60" s="81"/>
      <c r="G60" s="81"/>
      <c r="H60" s="81"/>
      <c r="I60" s="81"/>
      <c r="J60" s="86"/>
      <c r="K60" s="81"/>
      <c r="L60" s="81"/>
      <c r="M60" s="81"/>
      <c r="N60" s="81"/>
      <c r="O60" s="81"/>
      <c r="P60" s="110"/>
      <c r="Q60" s="81">
        <v>3.498</v>
      </c>
      <c r="R60" s="81"/>
      <c r="S60" s="81"/>
      <c r="T60" s="81"/>
      <c r="U60" s="81">
        <v>-0.127</v>
      </c>
      <c r="V60" s="86"/>
      <c r="W60" s="86"/>
      <c r="X60" s="81"/>
      <c r="Y60" s="81"/>
      <c r="Z60" s="81"/>
      <c r="AA60" s="81">
        <f>SUM(D60:Z60)</f>
        <v>3.3710000000000004</v>
      </c>
      <c r="AB60" s="104">
        <f t="shared" si="4"/>
        <v>-33.934</v>
      </c>
    </row>
    <row r="61" spans="2:28" ht="15">
      <c r="B61" s="107" t="s">
        <v>35</v>
      </c>
      <c r="C61" s="108">
        <v>82.123</v>
      </c>
      <c r="D61" s="81"/>
      <c r="E61" s="81"/>
      <c r="F61" s="81">
        <v>0.42</v>
      </c>
      <c r="G61" s="81"/>
      <c r="H61" s="81">
        <v>7.907</v>
      </c>
      <c r="I61" s="81"/>
      <c r="J61" s="86"/>
      <c r="K61" s="81"/>
      <c r="L61" s="81">
        <v>0.845</v>
      </c>
      <c r="M61" s="81"/>
      <c r="N61" s="81"/>
      <c r="O61" s="81"/>
      <c r="P61" s="81"/>
      <c r="Q61" s="81"/>
      <c r="R61" s="81">
        <v>22.673</v>
      </c>
      <c r="S61" s="81"/>
      <c r="T61" s="81"/>
      <c r="U61" s="81"/>
      <c r="V61" s="86"/>
      <c r="W61" s="81"/>
      <c r="X61" s="86"/>
      <c r="Y61" s="86"/>
      <c r="Z61" s="86"/>
      <c r="AA61" s="81">
        <f>SUM(D61:Z61)</f>
        <v>31.845</v>
      </c>
      <c r="AB61" s="104">
        <f t="shared" si="4"/>
        <v>-50.278000000000006</v>
      </c>
    </row>
    <row r="62" spans="2:28" ht="15">
      <c r="B62" s="107" t="s">
        <v>24</v>
      </c>
      <c r="C62" s="108">
        <f>219.453+63.1+11+23</f>
        <v>316.553</v>
      </c>
      <c r="D62" s="81"/>
      <c r="E62" s="81"/>
      <c r="F62" s="81"/>
      <c r="G62" s="81"/>
      <c r="H62" s="81">
        <v>13.032</v>
      </c>
      <c r="I62" s="81"/>
      <c r="J62" s="81"/>
      <c r="K62" s="81">
        <v>11.349</v>
      </c>
      <c r="L62" s="81"/>
      <c r="M62" s="81"/>
      <c r="N62" s="81"/>
      <c r="O62" s="81">
        <v>3.8</v>
      </c>
      <c r="P62" s="81">
        <v>0.766</v>
      </c>
      <c r="Q62" s="81">
        <v>12.7</v>
      </c>
      <c r="R62" s="81"/>
      <c r="S62" s="81">
        <v>33.98</v>
      </c>
      <c r="T62" s="81">
        <v>1.52</v>
      </c>
      <c r="U62" s="81">
        <v>-0.399</v>
      </c>
      <c r="V62" s="81"/>
      <c r="W62" s="81"/>
      <c r="X62" s="81"/>
      <c r="Y62" s="81"/>
      <c r="Z62" s="81"/>
      <c r="AA62" s="81">
        <f>SUM(D62:Z62)</f>
        <v>76.748</v>
      </c>
      <c r="AB62" s="104">
        <f t="shared" si="4"/>
        <v>-239.805</v>
      </c>
    </row>
    <row r="63" spans="2:28" ht="15">
      <c r="B63" s="105" t="s">
        <v>50</v>
      </c>
      <c r="C63" s="106">
        <f>C64+C65</f>
        <v>3976.2870000000003</v>
      </c>
      <c r="D63" s="106">
        <f aca="true" t="shared" si="16" ref="D63:AA63">D64+D65</f>
        <v>0</v>
      </c>
      <c r="E63" s="106">
        <f t="shared" si="16"/>
        <v>13.998</v>
      </c>
      <c r="F63" s="106">
        <f t="shared" si="16"/>
        <v>846.22</v>
      </c>
      <c r="G63" s="106">
        <f t="shared" si="16"/>
        <v>0</v>
      </c>
      <c r="H63" s="106">
        <f t="shared" si="16"/>
        <v>10.507</v>
      </c>
      <c r="I63" s="106">
        <f t="shared" si="16"/>
        <v>0</v>
      </c>
      <c r="J63" s="106">
        <f t="shared" si="16"/>
        <v>0</v>
      </c>
      <c r="K63" s="106">
        <f t="shared" si="16"/>
        <v>87.349</v>
      </c>
      <c r="L63" s="106">
        <f t="shared" si="16"/>
        <v>0</v>
      </c>
      <c r="M63" s="106">
        <f t="shared" si="16"/>
        <v>0</v>
      </c>
      <c r="N63" s="106">
        <f t="shared" si="16"/>
        <v>0</v>
      </c>
      <c r="O63" s="106">
        <f t="shared" si="16"/>
        <v>0</v>
      </c>
      <c r="P63" s="106">
        <f t="shared" si="16"/>
        <v>562.75</v>
      </c>
      <c r="Q63" s="106">
        <f t="shared" si="16"/>
        <v>0</v>
      </c>
      <c r="R63" s="106">
        <f t="shared" si="16"/>
        <v>0</v>
      </c>
      <c r="S63" s="106">
        <f t="shared" si="16"/>
        <v>42.116</v>
      </c>
      <c r="T63" s="106">
        <f>T64+T65</f>
        <v>0</v>
      </c>
      <c r="U63" s="106">
        <f t="shared" si="16"/>
        <v>0</v>
      </c>
      <c r="V63" s="106">
        <f t="shared" si="16"/>
        <v>0</v>
      </c>
      <c r="W63" s="106">
        <f t="shared" si="16"/>
        <v>0</v>
      </c>
      <c r="X63" s="106">
        <f t="shared" si="16"/>
        <v>0</v>
      </c>
      <c r="Y63" s="106">
        <f t="shared" si="16"/>
        <v>0</v>
      </c>
      <c r="Z63" s="106">
        <f>Z64+Z65</f>
        <v>0</v>
      </c>
      <c r="AA63" s="106">
        <f t="shared" si="16"/>
        <v>1562.94</v>
      </c>
      <c r="AB63" s="104">
        <f t="shared" si="4"/>
        <v>-2413.347</v>
      </c>
    </row>
    <row r="64" spans="2:28" ht="15">
      <c r="B64" s="118" t="s">
        <v>51</v>
      </c>
      <c r="C64" s="113">
        <f>298.858+159</f>
        <v>457.858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0</v>
      </c>
      <c r="AB64" s="104">
        <f t="shared" si="4"/>
        <v>-457.858</v>
      </c>
    </row>
    <row r="65" spans="2:28" ht="15">
      <c r="B65" s="118" t="s">
        <v>35</v>
      </c>
      <c r="C65" s="113">
        <f>3501.429+17</f>
        <v>3518.429</v>
      </c>
      <c r="D65" s="86"/>
      <c r="E65" s="86">
        <v>13.998</v>
      </c>
      <c r="F65" s="86">
        <v>846.22</v>
      </c>
      <c r="G65" s="86"/>
      <c r="H65" s="86">
        <v>10.507</v>
      </c>
      <c r="I65" s="86"/>
      <c r="J65" s="86"/>
      <c r="K65" s="86">
        <v>87.349</v>
      </c>
      <c r="L65" s="86"/>
      <c r="M65" s="86"/>
      <c r="N65" s="86"/>
      <c r="O65" s="86"/>
      <c r="P65" s="86">
        <v>562.75</v>
      </c>
      <c r="Q65" s="86"/>
      <c r="R65" s="86"/>
      <c r="S65" s="86">
        <v>42.116</v>
      </c>
      <c r="T65" s="86"/>
      <c r="U65" s="86"/>
      <c r="V65" s="86"/>
      <c r="W65" s="86"/>
      <c r="X65" s="86"/>
      <c r="Y65" s="86"/>
      <c r="Z65" s="86"/>
      <c r="AA65" s="86">
        <f>SUM(D65:Z65)</f>
        <v>1562.94</v>
      </c>
      <c r="AB65" s="104">
        <f t="shared" si="4"/>
        <v>-1955.489</v>
      </c>
    </row>
    <row r="66" spans="2:28" ht="15">
      <c r="B66" s="105" t="s">
        <v>52</v>
      </c>
      <c r="C66" s="106">
        <f>C67+C68</f>
        <v>45.181</v>
      </c>
      <c r="D66" s="106">
        <f aca="true" t="shared" si="17" ref="D66:AA66">D67+D68</f>
        <v>0</v>
      </c>
      <c r="E66" s="106">
        <f t="shared" si="17"/>
        <v>3.588</v>
      </c>
      <c r="F66" s="106">
        <f t="shared" si="17"/>
        <v>0</v>
      </c>
      <c r="G66" s="106">
        <f t="shared" si="17"/>
        <v>0</v>
      </c>
      <c r="H66" s="106">
        <f t="shared" si="17"/>
        <v>0</v>
      </c>
      <c r="I66" s="106">
        <f t="shared" si="17"/>
        <v>0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5.1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8.687999999999999</v>
      </c>
      <c r="AB66" s="104">
        <f t="shared" si="4"/>
        <v>-36.492999999999995</v>
      </c>
    </row>
    <row r="67" spans="2:28" ht="15">
      <c r="B67" s="107" t="s">
        <v>22</v>
      </c>
      <c r="C67" s="113">
        <v>15.634</v>
      </c>
      <c r="D67" s="86"/>
      <c r="E67" s="86">
        <v>2.934</v>
      </c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2.934</v>
      </c>
      <c r="AB67" s="104">
        <f t="shared" si="4"/>
        <v>-12.7</v>
      </c>
    </row>
    <row r="68" spans="2:28" ht="15">
      <c r="B68" s="107" t="s">
        <v>35</v>
      </c>
      <c r="C68" s="113">
        <v>29.547</v>
      </c>
      <c r="D68" s="86"/>
      <c r="E68" s="86">
        <v>0.654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>
        <v>5.1</v>
      </c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5.754</v>
      </c>
      <c r="AB68" s="104">
        <f t="shared" si="4"/>
        <v>-23.793</v>
      </c>
    </row>
    <row r="69" spans="2:28" ht="45" customHeight="1">
      <c r="B69" s="119" t="s">
        <v>53</v>
      </c>
      <c r="C69" s="106">
        <f>400-200</f>
        <v>200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 aca="true" t="shared" si="18" ref="AA69:AA80">SUM(D69:Z69)</f>
        <v>0</v>
      </c>
      <c r="AB69" s="104">
        <f t="shared" si="4"/>
        <v>-200</v>
      </c>
    </row>
    <row r="70" spans="1:29" ht="15">
      <c r="A70" s="66">
        <v>170703</v>
      </c>
      <c r="B70" s="105" t="s">
        <v>54</v>
      </c>
      <c r="C70" s="106">
        <f>C71</f>
        <v>806.591</v>
      </c>
      <c r="D70" s="106">
        <f aca="true" t="shared" si="19" ref="D70:AA70">D71</f>
        <v>0</v>
      </c>
      <c r="E70" s="106">
        <f t="shared" si="19"/>
        <v>0</v>
      </c>
      <c r="F70" s="106">
        <f t="shared" si="19"/>
        <v>0</v>
      </c>
      <c r="G70" s="106">
        <f t="shared" si="19"/>
        <v>0</v>
      </c>
      <c r="H70" s="106">
        <f t="shared" si="19"/>
        <v>137.632</v>
      </c>
      <c r="I70" s="106">
        <f t="shared" si="19"/>
        <v>123.172</v>
      </c>
      <c r="J70" s="106">
        <f t="shared" si="19"/>
        <v>26.038</v>
      </c>
      <c r="K70" s="106">
        <f t="shared" si="19"/>
        <v>0</v>
      </c>
      <c r="L70" s="106">
        <f t="shared" si="19"/>
        <v>0</v>
      </c>
      <c r="M70" s="106">
        <f t="shared" si="19"/>
        <v>0</v>
      </c>
      <c r="N70" s="106">
        <f t="shared" si="19"/>
        <v>0</v>
      </c>
      <c r="O70" s="106">
        <f t="shared" si="19"/>
        <v>0</v>
      </c>
      <c r="P70" s="106">
        <f t="shared" si="19"/>
        <v>0</v>
      </c>
      <c r="Q70" s="106">
        <f t="shared" si="19"/>
        <v>0</v>
      </c>
      <c r="R70" s="106">
        <f t="shared" si="19"/>
        <v>0</v>
      </c>
      <c r="S70" s="106">
        <f t="shared" si="19"/>
        <v>0</v>
      </c>
      <c r="T70" s="106">
        <f t="shared" si="19"/>
        <v>101.501</v>
      </c>
      <c r="U70" s="106">
        <f t="shared" si="19"/>
        <v>0</v>
      </c>
      <c r="V70" s="106">
        <f t="shared" si="19"/>
        <v>0</v>
      </c>
      <c r="W70" s="106">
        <f t="shared" si="19"/>
        <v>0</v>
      </c>
      <c r="X70" s="106">
        <f t="shared" si="19"/>
        <v>0</v>
      </c>
      <c r="Y70" s="106">
        <f t="shared" si="19"/>
        <v>0</v>
      </c>
      <c r="Z70" s="106">
        <f t="shared" si="19"/>
        <v>0</v>
      </c>
      <c r="AA70" s="106">
        <f t="shared" si="19"/>
        <v>388.34299999999996</v>
      </c>
      <c r="AB70" s="104">
        <f t="shared" si="4"/>
        <v>-418.24800000000005</v>
      </c>
      <c r="AC70" s="94"/>
    </row>
    <row r="71" spans="2:40" s="94" customFormat="1" ht="15">
      <c r="B71" s="118" t="s">
        <v>51</v>
      </c>
      <c r="C71" s="113">
        <f>381.691+386.3+43.1-4.5</f>
        <v>806.591</v>
      </c>
      <c r="D71" s="86"/>
      <c r="E71" s="86"/>
      <c r="F71" s="86"/>
      <c r="G71" s="86"/>
      <c r="H71" s="86">
        <v>137.632</v>
      </c>
      <c r="I71" s="86">
        <v>123.172</v>
      </c>
      <c r="J71" s="86">
        <v>26.038</v>
      </c>
      <c r="K71" s="86"/>
      <c r="L71" s="86"/>
      <c r="M71" s="86"/>
      <c r="N71" s="86"/>
      <c r="O71" s="86"/>
      <c r="P71" s="86"/>
      <c r="Q71" s="86"/>
      <c r="R71" s="86"/>
      <c r="S71" s="86"/>
      <c r="T71" s="86">
        <v>101.501</v>
      </c>
      <c r="U71" s="86"/>
      <c r="V71" s="86"/>
      <c r="W71" s="86"/>
      <c r="X71" s="86"/>
      <c r="Y71" s="86"/>
      <c r="Z71" s="86"/>
      <c r="AA71" s="86">
        <f t="shared" si="18"/>
        <v>388.34299999999996</v>
      </c>
      <c r="AB71" s="104">
        <f t="shared" si="4"/>
        <v>-418.24800000000005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7">
      <c r="B72" s="119" t="s">
        <v>55</v>
      </c>
      <c r="C72" s="106">
        <v>10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8"/>
        <v>0</v>
      </c>
      <c r="AB72" s="104">
        <f t="shared" si="4"/>
        <v>-10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15">
      <c r="B73" s="119" t="s">
        <v>56</v>
      </c>
      <c r="C73" s="106">
        <v>279.678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8"/>
        <v>0</v>
      </c>
      <c r="AB73" s="104">
        <f t="shared" si="4"/>
        <v>-279.678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">
      <c r="B74" s="119" t="s">
        <v>57</v>
      </c>
      <c r="C74" s="106">
        <v>16.182</v>
      </c>
      <c r="D74" s="106"/>
      <c r="E74" s="106"/>
      <c r="F74" s="106"/>
      <c r="G74" s="106"/>
      <c r="H74" s="106">
        <v>8</v>
      </c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8"/>
        <v>8</v>
      </c>
      <c r="AB74" s="104">
        <f t="shared" si="4"/>
        <v>-8.181999999999999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15">
      <c r="B75" s="119" t="s">
        <v>58</v>
      </c>
      <c r="C75" s="106">
        <v>281.155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8"/>
        <v>0</v>
      </c>
      <c r="AB75" s="104">
        <f t="shared" si="4"/>
        <v>-281.155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1:40" s="66" customFormat="1" ht="15">
      <c r="A76" s="66">
        <v>250102</v>
      </c>
      <c r="B76" s="105" t="s">
        <v>59</v>
      </c>
      <c r="C76" s="106">
        <v>100.5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8"/>
        <v>0</v>
      </c>
      <c r="AB76" s="104">
        <f t="shared" si="4"/>
        <v>-100.5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55.5">
      <c r="B77" s="105" t="s">
        <v>60</v>
      </c>
      <c r="C77" s="106">
        <v>47.942</v>
      </c>
      <c r="D77" s="106"/>
      <c r="E77" s="106"/>
      <c r="F77" s="106"/>
      <c r="G77" s="106"/>
      <c r="H77" s="106"/>
      <c r="I77" s="106">
        <v>47.942</v>
      </c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18"/>
        <v>47.942</v>
      </c>
      <c r="AB77" s="104">
        <f t="shared" si="4"/>
        <v>0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71.25" customHeight="1" hidden="1">
      <c r="B78" s="105" t="s">
        <v>61</v>
      </c>
      <c r="C78" s="106">
        <v>0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18"/>
        <v>0</v>
      </c>
      <c r="AB78" s="104">
        <f t="shared" si="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55.5" hidden="1">
      <c r="B79" s="105" t="s">
        <v>62</v>
      </c>
      <c r="C79" s="106">
        <v>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18"/>
        <v>0</v>
      </c>
      <c r="AB79" s="104">
        <f t="shared" si="4"/>
        <v>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42">
      <c r="B80" s="105" t="s">
        <v>63</v>
      </c>
      <c r="C80" s="106">
        <v>0</v>
      </c>
      <c r="D80" s="106">
        <v>451.403</v>
      </c>
      <c r="E80" s="106">
        <v>19.975</v>
      </c>
      <c r="F80" s="106">
        <v>57.707</v>
      </c>
      <c r="G80" s="106">
        <v>61.185</v>
      </c>
      <c r="H80" s="106">
        <v>723.205</v>
      </c>
      <c r="I80" s="106">
        <v>1332.085</v>
      </c>
      <c r="J80" s="106"/>
      <c r="K80" s="106"/>
      <c r="L80" s="106">
        <v>507.761</v>
      </c>
      <c r="M80" s="106">
        <f>735.893+166.162</f>
        <v>902.0550000000001</v>
      </c>
      <c r="N80" s="106"/>
      <c r="O80" s="106">
        <v>106.979</v>
      </c>
      <c r="P80" s="106">
        <v>32.782</v>
      </c>
      <c r="Q80" s="106">
        <v>88.49</v>
      </c>
      <c r="R80" s="106">
        <v>612.848</v>
      </c>
      <c r="S80" s="106">
        <v>31.24</v>
      </c>
      <c r="T80" s="106">
        <v>-14.211</v>
      </c>
      <c r="U80" s="106"/>
      <c r="V80" s="106"/>
      <c r="W80" s="106"/>
      <c r="X80" s="106"/>
      <c r="Y80" s="106"/>
      <c r="Z80" s="106"/>
      <c r="AA80" s="106">
        <f t="shared" si="18"/>
        <v>4913.504</v>
      </c>
      <c r="AB80" s="104">
        <f t="shared" si="4"/>
        <v>4913.504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15">
      <c r="B81" s="120" t="s">
        <v>64</v>
      </c>
      <c r="C81" s="121">
        <f>SUM(C82:C88)</f>
        <v>40773.55751</v>
      </c>
      <c r="D81" s="121">
        <f aca="true" t="shared" si="20" ref="D81:AA81">SUM(D82:D88)</f>
        <v>457.673</v>
      </c>
      <c r="E81" s="121">
        <f t="shared" si="20"/>
        <v>61.497</v>
      </c>
      <c r="F81" s="121">
        <f t="shared" si="20"/>
        <v>1031.7540000000001</v>
      </c>
      <c r="G81" s="121">
        <f t="shared" si="20"/>
        <v>382.605</v>
      </c>
      <c r="H81" s="121">
        <f t="shared" si="20"/>
        <v>1470.801</v>
      </c>
      <c r="I81" s="121">
        <f t="shared" si="20"/>
        <v>5772.221</v>
      </c>
      <c r="J81" s="121">
        <f t="shared" si="20"/>
        <v>3792.848</v>
      </c>
      <c r="K81" s="121">
        <f t="shared" si="20"/>
        <v>381.216</v>
      </c>
      <c r="L81" s="121">
        <f t="shared" si="20"/>
        <v>2584.683</v>
      </c>
      <c r="M81" s="121">
        <f t="shared" si="20"/>
        <v>1145.1319999999998</v>
      </c>
      <c r="N81" s="121">
        <f t="shared" si="20"/>
        <v>0</v>
      </c>
      <c r="O81" s="121">
        <f t="shared" si="20"/>
        <v>172.313</v>
      </c>
      <c r="P81" s="121">
        <f t="shared" si="20"/>
        <v>900.755</v>
      </c>
      <c r="Q81" s="121">
        <f t="shared" si="20"/>
        <v>425.991</v>
      </c>
      <c r="R81" s="121">
        <f t="shared" si="20"/>
        <v>3795.5659999999993</v>
      </c>
      <c r="S81" s="121">
        <f t="shared" si="20"/>
        <v>4810.969999999999</v>
      </c>
      <c r="T81" s="121">
        <f>SUM(T82:T88)</f>
        <v>2645.091</v>
      </c>
      <c r="U81" s="121">
        <f t="shared" si="20"/>
        <v>-0.526</v>
      </c>
      <c r="V81" s="121">
        <f t="shared" si="20"/>
        <v>0</v>
      </c>
      <c r="W81" s="121">
        <f t="shared" si="20"/>
        <v>0</v>
      </c>
      <c r="X81" s="121">
        <f t="shared" si="20"/>
        <v>0</v>
      </c>
      <c r="Y81" s="121">
        <f t="shared" si="20"/>
        <v>0</v>
      </c>
      <c r="Z81" s="121">
        <f t="shared" si="20"/>
        <v>0</v>
      </c>
      <c r="AA81" s="121">
        <f t="shared" si="20"/>
        <v>29830.589999999997</v>
      </c>
      <c r="AB81" s="104">
        <f t="shared" si="4"/>
        <v>-10942.967510000002</v>
      </c>
      <c r="AC81" s="69"/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1:40" s="72" customFormat="1" ht="15">
      <c r="A82" s="69"/>
      <c r="B82" s="107" t="s">
        <v>20</v>
      </c>
      <c r="C82" s="108">
        <f aca="true" t="shared" si="21" ref="C82:AA82">C20+C36+C42+C46+C50+C53+C58+C24</f>
        <v>26767.78</v>
      </c>
      <c r="D82" s="108">
        <f t="shared" si="21"/>
        <v>6.08</v>
      </c>
      <c r="E82" s="108">
        <f t="shared" si="21"/>
        <v>6.890000000000001</v>
      </c>
      <c r="F82" s="108">
        <f t="shared" si="21"/>
        <v>40.84</v>
      </c>
      <c r="G82" s="108">
        <f t="shared" si="21"/>
        <v>27.569000000000003</v>
      </c>
      <c r="H82" s="108">
        <f t="shared" si="21"/>
        <v>170.229</v>
      </c>
      <c r="I82" s="108">
        <f t="shared" si="21"/>
        <v>4159.506</v>
      </c>
      <c r="J82" s="108">
        <f t="shared" si="21"/>
        <v>3641.3450000000003</v>
      </c>
      <c r="K82" s="108">
        <f t="shared" si="21"/>
        <v>201.32999999999998</v>
      </c>
      <c r="L82" s="108">
        <f t="shared" si="21"/>
        <v>1803.6209999999999</v>
      </c>
      <c r="M82" s="108">
        <f t="shared" si="21"/>
        <v>0</v>
      </c>
      <c r="N82" s="108">
        <f t="shared" si="21"/>
        <v>0</v>
      </c>
      <c r="O82" s="108">
        <f t="shared" si="21"/>
        <v>0</v>
      </c>
      <c r="P82" s="108">
        <f t="shared" si="21"/>
        <v>223.608</v>
      </c>
      <c r="Q82" s="108">
        <f t="shared" si="21"/>
        <v>112.512</v>
      </c>
      <c r="R82" s="108">
        <f t="shared" si="21"/>
        <v>2995.4469999999997</v>
      </c>
      <c r="S82" s="108">
        <f t="shared" si="21"/>
        <v>4556.054</v>
      </c>
      <c r="T82" s="108">
        <f t="shared" si="21"/>
        <v>2412.4</v>
      </c>
      <c r="U82" s="108">
        <f t="shared" si="21"/>
        <v>0</v>
      </c>
      <c r="V82" s="108">
        <f t="shared" si="21"/>
        <v>0</v>
      </c>
      <c r="W82" s="108">
        <f t="shared" si="21"/>
        <v>0</v>
      </c>
      <c r="X82" s="108">
        <f t="shared" si="21"/>
        <v>0</v>
      </c>
      <c r="Y82" s="108">
        <f t="shared" si="21"/>
        <v>0</v>
      </c>
      <c r="Z82" s="108">
        <f t="shared" si="21"/>
        <v>0</v>
      </c>
      <c r="AA82" s="108">
        <f t="shared" si="21"/>
        <v>20357.430999999997</v>
      </c>
      <c r="AB82" s="104">
        <f t="shared" si="4"/>
        <v>-6410.349000000002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">
      <c r="A83" s="69"/>
      <c r="B83" s="107" t="s">
        <v>29</v>
      </c>
      <c r="C83" s="108">
        <f aca="true" t="shared" si="22" ref="C83:AA83">C25+C37+C59</f>
        <v>19.12751</v>
      </c>
      <c r="D83" s="108">
        <f t="shared" si="22"/>
        <v>0</v>
      </c>
      <c r="E83" s="108">
        <f t="shared" si="22"/>
        <v>0</v>
      </c>
      <c r="F83" s="108">
        <f t="shared" si="22"/>
        <v>0</v>
      </c>
      <c r="G83" s="108">
        <f t="shared" si="22"/>
        <v>1.794</v>
      </c>
      <c r="H83" s="108">
        <f t="shared" si="22"/>
        <v>0</v>
      </c>
      <c r="I83" s="108">
        <f t="shared" si="22"/>
        <v>0</v>
      </c>
      <c r="J83" s="108">
        <f t="shared" si="22"/>
        <v>3</v>
      </c>
      <c r="K83" s="108">
        <f t="shared" si="22"/>
        <v>0</v>
      </c>
      <c r="L83" s="108">
        <f t="shared" si="22"/>
        <v>0</v>
      </c>
      <c r="M83" s="108">
        <f t="shared" si="22"/>
        <v>0</v>
      </c>
      <c r="N83" s="108">
        <f t="shared" si="22"/>
        <v>0</v>
      </c>
      <c r="O83" s="108">
        <f t="shared" si="22"/>
        <v>0</v>
      </c>
      <c r="P83" s="108">
        <f t="shared" si="22"/>
        <v>0</v>
      </c>
      <c r="Q83" s="108">
        <f t="shared" si="22"/>
        <v>0</v>
      </c>
      <c r="R83" s="108">
        <f t="shared" si="22"/>
        <v>0</v>
      </c>
      <c r="S83" s="108">
        <f t="shared" si="22"/>
        <v>1.498</v>
      </c>
      <c r="T83" s="108">
        <f t="shared" si="22"/>
        <v>0</v>
      </c>
      <c r="U83" s="108">
        <f t="shared" si="22"/>
        <v>0</v>
      </c>
      <c r="V83" s="108">
        <f t="shared" si="22"/>
        <v>0</v>
      </c>
      <c r="W83" s="108">
        <f t="shared" si="22"/>
        <v>0</v>
      </c>
      <c r="X83" s="108">
        <f t="shared" si="22"/>
        <v>0</v>
      </c>
      <c r="Y83" s="108">
        <f t="shared" si="22"/>
        <v>0</v>
      </c>
      <c r="Z83" s="108">
        <f t="shared" si="22"/>
        <v>0</v>
      </c>
      <c r="AA83" s="108">
        <f t="shared" si="22"/>
        <v>6.292</v>
      </c>
      <c r="AB83" s="104">
        <f t="shared" si="4"/>
        <v>-12.835510000000001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">
      <c r="A84" s="69"/>
      <c r="B84" s="107" t="s">
        <v>31</v>
      </c>
      <c r="C84" s="108">
        <f aca="true" t="shared" si="23" ref="C84:AA84">C26+C38</f>
        <v>726.4609999999999</v>
      </c>
      <c r="D84" s="108">
        <f t="shared" si="23"/>
        <v>0</v>
      </c>
      <c r="E84" s="108">
        <f t="shared" si="23"/>
        <v>0</v>
      </c>
      <c r="F84" s="108">
        <f t="shared" si="23"/>
        <v>0</v>
      </c>
      <c r="G84" s="108">
        <f t="shared" si="23"/>
        <v>53.645</v>
      </c>
      <c r="H84" s="108">
        <f t="shared" si="23"/>
        <v>71.343</v>
      </c>
      <c r="I84" s="108">
        <f t="shared" si="23"/>
        <v>13.833</v>
      </c>
      <c r="J84" s="108">
        <f t="shared" si="23"/>
        <v>60.682</v>
      </c>
      <c r="K84" s="108">
        <f t="shared" si="23"/>
        <v>0</v>
      </c>
      <c r="L84" s="108">
        <f t="shared" si="23"/>
        <v>27.851</v>
      </c>
      <c r="M84" s="108">
        <f t="shared" si="23"/>
        <v>0</v>
      </c>
      <c r="N84" s="108">
        <f t="shared" si="23"/>
        <v>0</v>
      </c>
      <c r="O84" s="108">
        <f t="shared" si="23"/>
        <v>29.436</v>
      </c>
      <c r="P84" s="108">
        <f t="shared" si="23"/>
        <v>0</v>
      </c>
      <c r="Q84" s="108">
        <f t="shared" si="23"/>
        <v>0</v>
      </c>
      <c r="R84" s="108">
        <f t="shared" si="23"/>
        <v>10.35</v>
      </c>
      <c r="S84" s="108">
        <f t="shared" si="23"/>
        <v>46.689</v>
      </c>
      <c r="T84" s="108">
        <f t="shared" si="23"/>
        <v>1.165</v>
      </c>
      <c r="U84" s="108">
        <f t="shared" si="23"/>
        <v>0</v>
      </c>
      <c r="V84" s="108">
        <f t="shared" si="23"/>
        <v>0</v>
      </c>
      <c r="W84" s="108">
        <f t="shared" si="23"/>
        <v>0</v>
      </c>
      <c r="X84" s="108">
        <f t="shared" si="23"/>
        <v>0</v>
      </c>
      <c r="Y84" s="108">
        <f t="shared" si="23"/>
        <v>0</v>
      </c>
      <c r="Z84" s="108">
        <f t="shared" si="23"/>
        <v>0</v>
      </c>
      <c r="AA84" s="108">
        <f t="shared" si="23"/>
        <v>314.994</v>
      </c>
      <c r="AB84" s="104">
        <f t="shared" si="4"/>
        <v>-411.46699999999987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">
      <c r="A85" s="69"/>
      <c r="B85" s="107" t="s">
        <v>22</v>
      </c>
      <c r="C85" s="108">
        <f aca="true" t="shared" si="24" ref="C85:AA85">C21+C27+C39+C43+C47+C54+C60+C67</f>
        <v>1143.516</v>
      </c>
      <c r="D85" s="108">
        <f t="shared" si="24"/>
        <v>0</v>
      </c>
      <c r="E85" s="108">
        <f t="shared" si="24"/>
        <v>6.478</v>
      </c>
      <c r="F85" s="108">
        <f t="shared" si="24"/>
        <v>0.146</v>
      </c>
      <c r="G85" s="108">
        <f t="shared" si="24"/>
        <v>5.646000000000001</v>
      </c>
      <c r="H85" s="108">
        <f t="shared" si="24"/>
        <v>1.381</v>
      </c>
      <c r="I85" s="108">
        <f t="shared" si="24"/>
        <v>15.094</v>
      </c>
      <c r="J85" s="108">
        <f t="shared" si="24"/>
        <v>12.366</v>
      </c>
      <c r="K85" s="108">
        <f t="shared" si="24"/>
        <v>0</v>
      </c>
      <c r="L85" s="108">
        <f t="shared" si="24"/>
        <v>25.277</v>
      </c>
      <c r="M85" s="108">
        <f t="shared" si="24"/>
        <v>10.323</v>
      </c>
      <c r="N85" s="108">
        <f t="shared" si="24"/>
        <v>0</v>
      </c>
      <c r="O85" s="108">
        <f t="shared" si="24"/>
        <v>4.26</v>
      </c>
      <c r="P85" s="108">
        <f t="shared" si="24"/>
        <v>5.151</v>
      </c>
      <c r="Q85" s="108">
        <f t="shared" si="24"/>
        <v>6.03</v>
      </c>
      <c r="R85" s="108">
        <f t="shared" si="24"/>
        <v>100.4</v>
      </c>
      <c r="S85" s="108">
        <f t="shared" si="24"/>
        <v>22.971999999999998</v>
      </c>
      <c r="T85" s="108">
        <f t="shared" si="24"/>
        <v>20.651</v>
      </c>
      <c r="U85" s="108">
        <f t="shared" si="24"/>
        <v>-0.127</v>
      </c>
      <c r="V85" s="108">
        <f t="shared" si="24"/>
        <v>0</v>
      </c>
      <c r="W85" s="108">
        <f t="shared" si="24"/>
        <v>0</v>
      </c>
      <c r="X85" s="108">
        <f t="shared" si="24"/>
        <v>0</v>
      </c>
      <c r="Y85" s="108">
        <f t="shared" si="24"/>
        <v>0</v>
      </c>
      <c r="Z85" s="108">
        <f t="shared" si="24"/>
        <v>0</v>
      </c>
      <c r="AA85" s="108">
        <f t="shared" si="24"/>
        <v>236.04800000000003</v>
      </c>
      <c r="AB85" s="104">
        <f>AA85-C85</f>
        <v>-907.4680000000001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">
      <c r="A86" s="69"/>
      <c r="B86" s="107" t="s">
        <v>47</v>
      </c>
      <c r="C86" s="108">
        <f aca="true" t="shared" si="25" ref="C86:AA86">C55+C73</f>
        <v>286.298</v>
      </c>
      <c r="D86" s="108">
        <f t="shared" si="25"/>
        <v>0</v>
      </c>
      <c r="E86" s="108">
        <f t="shared" si="25"/>
        <v>0</v>
      </c>
      <c r="F86" s="108">
        <f t="shared" si="25"/>
        <v>0</v>
      </c>
      <c r="G86" s="108">
        <f t="shared" si="25"/>
        <v>0.782</v>
      </c>
      <c r="H86" s="108">
        <f t="shared" si="25"/>
        <v>0</v>
      </c>
      <c r="I86" s="108">
        <f t="shared" si="25"/>
        <v>0</v>
      </c>
      <c r="J86" s="108">
        <f t="shared" si="25"/>
        <v>0</v>
      </c>
      <c r="K86" s="108">
        <f t="shared" si="25"/>
        <v>0</v>
      </c>
      <c r="L86" s="108">
        <f t="shared" si="25"/>
        <v>0</v>
      </c>
      <c r="M86" s="108">
        <f t="shared" si="25"/>
        <v>0</v>
      </c>
      <c r="N86" s="108">
        <f t="shared" si="25"/>
        <v>0</v>
      </c>
      <c r="O86" s="108">
        <f t="shared" si="25"/>
        <v>0</v>
      </c>
      <c r="P86" s="108">
        <f t="shared" si="25"/>
        <v>0</v>
      </c>
      <c r="Q86" s="108">
        <f t="shared" si="25"/>
        <v>0</v>
      </c>
      <c r="R86" s="108">
        <f t="shared" si="25"/>
        <v>0</v>
      </c>
      <c r="S86" s="108">
        <f t="shared" si="25"/>
        <v>0</v>
      </c>
      <c r="T86" s="108">
        <f t="shared" si="25"/>
        <v>0</v>
      </c>
      <c r="U86" s="108">
        <f t="shared" si="25"/>
        <v>0</v>
      </c>
      <c r="V86" s="108">
        <f t="shared" si="25"/>
        <v>0</v>
      </c>
      <c r="W86" s="108">
        <f t="shared" si="25"/>
        <v>0</v>
      </c>
      <c r="X86" s="108">
        <f t="shared" si="25"/>
        <v>0</v>
      </c>
      <c r="Y86" s="108">
        <f t="shared" si="25"/>
        <v>0</v>
      </c>
      <c r="Z86" s="108">
        <f t="shared" si="25"/>
        <v>0</v>
      </c>
      <c r="AA86" s="108">
        <f t="shared" si="25"/>
        <v>0.782</v>
      </c>
      <c r="AB86" s="104">
        <f>AA86-C86</f>
        <v>-285.516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">
      <c r="A87" s="69"/>
      <c r="B87" s="107" t="s">
        <v>35</v>
      </c>
      <c r="C87" s="108">
        <f>C30+C51+C61+C65+C31+C68+C77+C78+C79</f>
        <v>4242.8949999999995</v>
      </c>
      <c r="D87" s="108">
        <f aca="true" t="shared" si="26" ref="D87:AA87">D30+D51+D61+D65+D31+D68+D77+D78+D79</f>
        <v>0</v>
      </c>
      <c r="E87" s="108">
        <f t="shared" si="26"/>
        <v>19.828</v>
      </c>
      <c r="F87" s="108">
        <f t="shared" si="26"/>
        <v>868.868</v>
      </c>
      <c r="G87" s="108">
        <f t="shared" si="26"/>
        <v>0</v>
      </c>
      <c r="H87" s="108">
        <f t="shared" si="26"/>
        <v>18.414</v>
      </c>
      <c r="I87" s="108">
        <f t="shared" si="26"/>
        <v>48.705</v>
      </c>
      <c r="J87" s="108">
        <f t="shared" si="26"/>
        <v>0</v>
      </c>
      <c r="K87" s="108">
        <f t="shared" si="26"/>
        <v>118.08200000000001</v>
      </c>
      <c r="L87" s="108">
        <f t="shared" si="26"/>
        <v>0.845</v>
      </c>
      <c r="M87" s="108">
        <f t="shared" si="26"/>
        <v>0.604</v>
      </c>
      <c r="N87" s="108">
        <f t="shared" si="26"/>
        <v>0</v>
      </c>
      <c r="O87" s="108">
        <f t="shared" si="26"/>
        <v>0</v>
      </c>
      <c r="P87" s="108">
        <f t="shared" si="26"/>
        <v>567.85</v>
      </c>
      <c r="Q87" s="108">
        <f t="shared" si="26"/>
        <v>71.983</v>
      </c>
      <c r="R87" s="108">
        <f t="shared" si="26"/>
        <v>22.673</v>
      </c>
      <c r="S87" s="108">
        <f t="shared" si="26"/>
        <v>42.116</v>
      </c>
      <c r="T87" s="108">
        <f t="shared" si="26"/>
        <v>0</v>
      </c>
      <c r="U87" s="108">
        <f t="shared" si="26"/>
        <v>0</v>
      </c>
      <c r="V87" s="108">
        <f t="shared" si="26"/>
        <v>0</v>
      </c>
      <c r="W87" s="108">
        <f t="shared" si="26"/>
        <v>0</v>
      </c>
      <c r="X87" s="108">
        <f t="shared" si="26"/>
        <v>0</v>
      </c>
      <c r="Y87" s="108">
        <f t="shared" si="26"/>
        <v>0</v>
      </c>
      <c r="Z87" s="108">
        <f t="shared" si="26"/>
        <v>0</v>
      </c>
      <c r="AA87" s="108">
        <f t="shared" si="26"/>
        <v>1779.9679999999998</v>
      </c>
      <c r="AB87" s="104">
        <f>AA87-C87</f>
        <v>-2462.9269999999997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">
      <c r="A88" s="69"/>
      <c r="B88" s="107" t="s">
        <v>24</v>
      </c>
      <c r="C88" s="108">
        <f>C22+C28+C32+C33+C40+C44+C48+C56+C62+C71+C75+C76+C80+C64+C74+C72+C34+C69</f>
        <v>7587.4800000000005</v>
      </c>
      <c r="D88" s="108">
        <f aca="true" t="shared" si="27" ref="D88:AA88">D22+D28+D32+D33+D40+D44+D48+D56+D62+D71+D75+D76+D80+D64+D74+D72+D34+D69</f>
        <v>451.593</v>
      </c>
      <c r="E88" s="108">
        <f t="shared" si="27"/>
        <v>28.301000000000002</v>
      </c>
      <c r="F88" s="108">
        <f t="shared" si="27"/>
        <v>121.9</v>
      </c>
      <c r="G88" s="108">
        <f t="shared" si="27"/>
        <v>293.169</v>
      </c>
      <c r="H88" s="108">
        <f t="shared" si="27"/>
        <v>1209.434</v>
      </c>
      <c r="I88" s="108">
        <f t="shared" si="27"/>
        <v>1535.083</v>
      </c>
      <c r="J88" s="108">
        <f t="shared" si="27"/>
        <v>75.455</v>
      </c>
      <c r="K88" s="108">
        <f t="shared" si="27"/>
        <v>61.804</v>
      </c>
      <c r="L88" s="108">
        <f t="shared" si="27"/>
        <v>727.089</v>
      </c>
      <c r="M88" s="108">
        <f t="shared" si="27"/>
        <v>1134.205</v>
      </c>
      <c r="N88" s="108">
        <f t="shared" si="27"/>
        <v>0</v>
      </c>
      <c r="O88" s="108">
        <f t="shared" si="27"/>
        <v>138.617</v>
      </c>
      <c r="P88" s="108">
        <f t="shared" si="27"/>
        <v>104.146</v>
      </c>
      <c r="Q88" s="108">
        <f t="shared" si="27"/>
        <v>235.466</v>
      </c>
      <c r="R88" s="108">
        <f t="shared" si="27"/>
        <v>666.6959999999999</v>
      </c>
      <c r="S88" s="108">
        <f t="shared" si="27"/>
        <v>141.64100000000002</v>
      </c>
      <c r="T88" s="108">
        <f t="shared" si="27"/>
        <v>210.875</v>
      </c>
      <c r="U88" s="108">
        <f t="shared" si="27"/>
        <v>-0.399</v>
      </c>
      <c r="V88" s="108">
        <f t="shared" si="27"/>
        <v>0</v>
      </c>
      <c r="W88" s="108">
        <f t="shared" si="27"/>
        <v>0</v>
      </c>
      <c r="X88" s="108">
        <f t="shared" si="27"/>
        <v>0</v>
      </c>
      <c r="Y88" s="108">
        <f t="shared" si="27"/>
        <v>0</v>
      </c>
      <c r="Z88" s="108">
        <f t="shared" si="27"/>
        <v>0</v>
      </c>
      <c r="AA88" s="108">
        <f t="shared" si="27"/>
        <v>7135.075</v>
      </c>
      <c r="AB88" s="104">
        <f>AA88-C88</f>
        <v>-452.40500000000065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">
      <c r="A89" s="69"/>
      <c r="B89" s="69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">
      <c r="A90" s="69"/>
      <c r="B90" s="69" t="s">
        <v>65</v>
      </c>
      <c r="C90" s="124">
        <f aca="true" t="shared" si="28" ref="C90:AA90">C18-C81</f>
        <v>0</v>
      </c>
      <c r="D90" s="124">
        <f t="shared" si="28"/>
        <v>0</v>
      </c>
      <c r="E90" s="124">
        <f t="shared" si="28"/>
        <v>0</v>
      </c>
      <c r="F90" s="124">
        <f t="shared" si="28"/>
        <v>0</v>
      </c>
      <c r="G90" s="124">
        <f t="shared" si="28"/>
        <v>0</v>
      </c>
      <c r="H90" s="124">
        <f t="shared" si="28"/>
        <v>0</v>
      </c>
      <c r="I90" s="124">
        <f t="shared" si="28"/>
        <v>0</v>
      </c>
      <c r="J90" s="124">
        <f t="shared" si="28"/>
        <v>0</v>
      </c>
      <c r="K90" s="124">
        <f t="shared" si="28"/>
        <v>0</v>
      </c>
      <c r="L90" s="124">
        <f t="shared" si="28"/>
        <v>0</v>
      </c>
      <c r="M90" s="124">
        <f t="shared" si="28"/>
        <v>0</v>
      </c>
      <c r="N90" s="124">
        <f t="shared" si="28"/>
        <v>0</v>
      </c>
      <c r="O90" s="124">
        <f t="shared" si="28"/>
        <v>0</v>
      </c>
      <c r="P90" s="124">
        <f t="shared" si="28"/>
        <v>0</v>
      </c>
      <c r="Q90" s="124">
        <f t="shared" si="28"/>
        <v>0</v>
      </c>
      <c r="R90" s="124">
        <f t="shared" si="28"/>
        <v>0</v>
      </c>
      <c r="S90" s="124">
        <f t="shared" si="28"/>
        <v>0</v>
      </c>
      <c r="T90" s="124">
        <f t="shared" si="28"/>
        <v>0</v>
      </c>
      <c r="U90" s="124">
        <f t="shared" si="28"/>
        <v>0</v>
      </c>
      <c r="V90" s="124">
        <f t="shared" si="28"/>
        <v>0</v>
      </c>
      <c r="W90" s="124">
        <f t="shared" si="28"/>
        <v>0</v>
      </c>
      <c r="X90" s="124">
        <f t="shared" si="28"/>
        <v>0</v>
      </c>
      <c r="Y90" s="124">
        <f t="shared" si="28"/>
        <v>0</v>
      </c>
      <c r="Z90" s="124">
        <f t="shared" si="28"/>
        <v>0</v>
      </c>
      <c r="AA90" s="124">
        <f t="shared" si="28"/>
        <v>0</v>
      </c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">
      <c r="A91" s="69"/>
      <c r="B91" s="69"/>
      <c r="C91" s="12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4" spans="1:40" s="72" customFormat="1" ht="1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71"/>
      <c r="AC94" s="127"/>
      <c r="AG94" s="73"/>
      <c r="AH94" s="73"/>
      <c r="AI94" s="73"/>
      <c r="AJ94" s="73"/>
      <c r="AK94" s="73"/>
      <c r="AL94" s="73"/>
      <c r="AM94" s="73"/>
      <c r="AN94" s="73"/>
    </row>
    <row r="173" ht="15">
      <c r="B173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3:AN173"/>
  <sheetViews>
    <sheetView zoomScalePageLayoutView="0" workbookViewId="0" topLeftCell="L68">
      <selection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6" width="8.7109375" style="69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7.25">
      <c r="B3" s="137" t="s">
        <v>75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">
      <c r="B4" s="69" t="s">
        <v>0</v>
      </c>
      <c r="AA4" s="70" t="s">
        <v>1</v>
      </c>
    </row>
    <row r="5" spans="2:27" ht="69">
      <c r="B5" s="74" t="s">
        <v>2</v>
      </c>
      <c r="C5" s="75" t="s">
        <v>3</v>
      </c>
      <c r="D5" s="76">
        <v>1</v>
      </c>
      <c r="E5" s="74">
        <v>2</v>
      </c>
      <c r="F5" s="74">
        <v>3</v>
      </c>
      <c r="G5" s="74">
        <v>4</v>
      </c>
      <c r="H5" s="74">
        <v>5</v>
      </c>
      <c r="I5" s="74">
        <v>8</v>
      </c>
      <c r="J5" s="77">
        <v>9</v>
      </c>
      <c r="K5" s="74">
        <v>10</v>
      </c>
      <c r="L5" s="74">
        <v>11</v>
      </c>
      <c r="M5" s="74">
        <v>12</v>
      </c>
      <c r="N5" s="74">
        <v>15</v>
      </c>
      <c r="O5" s="74">
        <v>16</v>
      </c>
      <c r="P5" s="74">
        <v>17</v>
      </c>
      <c r="Q5" s="74">
        <v>18</v>
      </c>
      <c r="R5" s="74">
        <v>19</v>
      </c>
      <c r="S5" s="74">
        <v>22</v>
      </c>
      <c r="T5" s="74">
        <v>23</v>
      </c>
      <c r="U5" s="74">
        <v>24</v>
      </c>
      <c r="V5" s="77">
        <v>25</v>
      </c>
      <c r="W5" s="74">
        <v>26</v>
      </c>
      <c r="X5" s="77">
        <v>29</v>
      </c>
      <c r="Y5" s="77">
        <v>30</v>
      </c>
      <c r="Z5" s="77">
        <v>31</v>
      </c>
      <c r="AA5" s="76" t="s">
        <v>4</v>
      </c>
    </row>
    <row r="6" spans="2:27" ht="27">
      <c r="B6" s="78" t="s">
        <v>5</v>
      </c>
      <c r="C6" s="79">
        <f>SUM(D6:Y6)</f>
        <v>84.2</v>
      </c>
      <c r="D6" s="80">
        <v>39.6</v>
      </c>
      <c r="E6" s="81"/>
      <c r="F6" s="82">
        <v>32.4</v>
      </c>
      <c r="G6" s="81"/>
      <c r="H6" s="82"/>
      <c r="I6" s="82"/>
      <c r="J6" s="83">
        <v>12.2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">
      <c r="B7" s="84" t="s">
        <v>6</v>
      </c>
      <c r="C7" s="79">
        <f>SUM(D7:Y7)</f>
        <v>1889.6</v>
      </c>
      <c r="D7" s="85">
        <v>944.8</v>
      </c>
      <c r="E7" s="81"/>
      <c r="F7" s="81"/>
      <c r="G7" s="81"/>
      <c r="H7" s="81"/>
      <c r="I7" s="81"/>
      <c r="J7" s="86"/>
      <c r="K7" s="81"/>
      <c r="L7" s="81">
        <v>944.8</v>
      </c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">
      <c r="B8" s="87" t="s">
        <v>8</v>
      </c>
      <c r="C8" s="88">
        <f aca="true" t="shared" si="0" ref="C8:C16">SUM(D8:Z8)</f>
        <v>21541.600000000002</v>
      </c>
      <c r="D8" s="89">
        <f aca="true" t="shared" si="1" ref="D8:Y8">SUM(D9:D16)</f>
        <v>353.40000000000003</v>
      </c>
      <c r="E8" s="89">
        <f t="shared" si="1"/>
        <v>268.9</v>
      </c>
      <c r="F8" s="89">
        <f t="shared" si="1"/>
        <v>213.29999999999998</v>
      </c>
      <c r="G8" s="89">
        <f t="shared" si="1"/>
        <v>914.1</v>
      </c>
      <c r="H8" s="89">
        <f t="shared" si="1"/>
        <v>3047.5</v>
      </c>
      <c r="I8" s="89">
        <f>SUM(I9:I16)</f>
        <v>553.6999999999999</v>
      </c>
      <c r="J8" s="89">
        <f t="shared" si="1"/>
        <v>311.3</v>
      </c>
      <c r="K8" s="89">
        <f>SUM(K9:K16)</f>
        <v>630.1</v>
      </c>
      <c r="L8" s="89">
        <f t="shared" si="1"/>
        <v>462.20000000000005</v>
      </c>
      <c r="M8" s="89">
        <f t="shared" si="1"/>
        <v>1670.3000000000002</v>
      </c>
      <c r="N8" s="89">
        <f t="shared" si="1"/>
        <v>657.6999999999999</v>
      </c>
      <c r="O8" s="89">
        <f t="shared" si="1"/>
        <v>437.49999999999994</v>
      </c>
      <c r="P8" s="89">
        <f t="shared" si="1"/>
        <v>432.09999999999997</v>
      </c>
      <c r="Q8" s="89">
        <f t="shared" si="1"/>
        <v>633.0000000000001</v>
      </c>
      <c r="R8" s="89">
        <f t="shared" si="1"/>
        <v>1249.2</v>
      </c>
      <c r="S8" s="89">
        <f>SUM(S9:S16)</f>
        <v>1168.9</v>
      </c>
      <c r="T8" s="89">
        <f>SUM(T9:T16)</f>
        <v>803.4</v>
      </c>
      <c r="U8" s="89">
        <f t="shared" si="1"/>
        <v>1064.4</v>
      </c>
      <c r="V8" s="89">
        <f t="shared" si="1"/>
        <v>1385.5</v>
      </c>
      <c r="W8" s="89">
        <f t="shared" si="1"/>
        <v>1003.4</v>
      </c>
      <c r="X8" s="89">
        <f t="shared" si="1"/>
        <v>2453.5</v>
      </c>
      <c r="Y8" s="89">
        <f t="shared" si="1"/>
        <v>930.9</v>
      </c>
      <c r="Z8" s="89">
        <f>SUM(Z9:Z16)</f>
        <v>897.3</v>
      </c>
      <c r="AA8" s="89" t="s">
        <v>7</v>
      </c>
      <c r="AD8" s="73"/>
      <c r="AE8" s="73"/>
      <c r="AF8" s="73"/>
    </row>
    <row r="9" spans="2:40" s="94" customFormat="1" ht="15">
      <c r="B9" s="27" t="s">
        <v>9</v>
      </c>
      <c r="C9" s="90">
        <f t="shared" si="0"/>
        <v>10901.8</v>
      </c>
      <c r="D9" s="91">
        <v>95.7</v>
      </c>
      <c r="E9" s="86">
        <v>63.2</v>
      </c>
      <c r="F9" s="86">
        <v>155.7</v>
      </c>
      <c r="G9" s="86">
        <v>577</v>
      </c>
      <c r="H9" s="86">
        <v>2880.1</v>
      </c>
      <c r="I9" s="86">
        <v>316.4</v>
      </c>
      <c r="J9" s="86">
        <v>121.4</v>
      </c>
      <c r="K9" s="86">
        <v>416.3</v>
      </c>
      <c r="L9" s="86">
        <v>206.8</v>
      </c>
      <c r="M9" s="86">
        <v>545.6</v>
      </c>
      <c r="N9" s="86">
        <v>297.1</v>
      </c>
      <c r="O9" s="86">
        <v>137.4</v>
      </c>
      <c r="P9" s="86">
        <v>121.6</v>
      </c>
      <c r="Q9" s="86">
        <v>306.4</v>
      </c>
      <c r="R9" s="92">
        <v>893.4</v>
      </c>
      <c r="S9" s="92">
        <v>801.5</v>
      </c>
      <c r="T9" s="86">
        <v>340.3</v>
      </c>
      <c r="U9" s="92">
        <v>481.5</v>
      </c>
      <c r="V9" s="86">
        <v>326.8</v>
      </c>
      <c r="W9" s="86">
        <v>309.1</v>
      </c>
      <c r="X9" s="86">
        <v>312.5</v>
      </c>
      <c r="Y9" s="86">
        <v>550.2</v>
      </c>
      <c r="Z9" s="86">
        <v>645.8</v>
      </c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0.2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>
        <v>0.2</v>
      </c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407.00000000000006</v>
      </c>
      <c r="D11" s="91"/>
      <c r="E11" s="86">
        <v>0.2</v>
      </c>
      <c r="F11" s="86">
        <v>0.3</v>
      </c>
      <c r="G11" s="86"/>
      <c r="H11" s="86">
        <v>2</v>
      </c>
      <c r="I11" s="86">
        <v>37.9</v>
      </c>
      <c r="J11" s="86">
        <v>2.5</v>
      </c>
      <c r="K11" s="86">
        <v>1.1</v>
      </c>
      <c r="L11" s="86">
        <v>0.6</v>
      </c>
      <c r="M11" s="86">
        <v>1.1</v>
      </c>
      <c r="N11" s="86">
        <v>2</v>
      </c>
      <c r="O11" s="86"/>
      <c r="P11" s="86">
        <v>0.6</v>
      </c>
      <c r="Q11" s="86">
        <v>9.4</v>
      </c>
      <c r="R11" s="92">
        <v>11.9</v>
      </c>
      <c r="S11" s="92">
        <v>32.7</v>
      </c>
      <c r="T11" s="86">
        <v>1.7</v>
      </c>
      <c r="U11" s="92">
        <v>2.4</v>
      </c>
      <c r="V11" s="86">
        <v>38</v>
      </c>
      <c r="W11" s="86">
        <v>95.3</v>
      </c>
      <c r="X11" s="86">
        <v>117</v>
      </c>
      <c r="Y11" s="86">
        <v>50.2</v>
      </c>
      <c r="Z11" s="86">
        <v>0.1</v>
      </c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">
      <c r="B12" s="27" t="s">
        <v>12</v>
      </c>
      <c r="C12" s="90">
        <f t="shared" si="0"/>
        <v>4019.1000000000004</v>
      </c>
      <c r="D12" s="91">
        <v>26.8</v>
      </c>
      <c r="E12" s="86">
        <v>6.7</v>
      </c>
      <c r="F12" s="86">
        <v>1.2</v>
      </c>
      <c r="G12" s="86">
        <v>28.2</v>
      </c>
      <c r="H12" s="86">
        <v>23.1</v>
      </c>
      <c r="I12" s="86">
        <v>9.5</v>
      </c>
      <c r="J12" s="86">
        <v>14.8</v>
      </c>
      <c r="K12" s="86">
        <v>39.4</v>
      </c>
      <c r="L12" s="86">
        <v>102.7</v>
      </c>
      <c r="M12" s="86">
        <v>736.8</v>
      </c>
      <c r="N12" s="86">
        <v>53.8</v>
      </c>
      <c r="O12" s="86">
        <v>35</v>
      </c>
      <c r="P12" s="86">
        <v>35.6</v>
      </c>
      <c r="Q12" s="86">
        <v>37.6</v>
      </c>
      <c r="R12" s="92">
        <v>70.4</v>
      </c>
      <c r="S12" s="92">
        <v>123.4</v>
      </c>
      <c r="T12" s="86">
        <v>221.6</v>
      </c>
      <c r="U12" s="92">
        <v>222.5</v>
      </c>
      <c r="V12" s="86">
        <v>507.6</v>
      </c>
      <c r="W12" s="86">
        <v>273.3</v>
      </c>
      <c r="X12" s="86">
        <v>1305.4</v>
      </c>
      <c r="Y12" s="86">
        <v>46.4</v>
      </c>
      <c r="Z12" s="86">
        <v>97.3</v>
      </c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">
      <c r="B13" s="27" t="s">
        <v>13</v>
      </c>
      <c r="C13" s="90">
        <f t="shared" si="0"/>
        <v>2799.1999999999994</v>
      </c>
      <c r="D13" s="91">
        <v>50.3</v>
      </c>
      <c r="E13" s="86">
        <v>21.4</v>
      </c>
      <c r="F13" s="86">
        <v>7</v>
      </c>
      <c r="G13" s="86">
        <v>193.4</v>
      </c>
      <c r="H13" s="86">
        <v>55.9</v>
      </c>
      <c r="I13" s="86">
        <v>18</v>
      </c>
      <c r="J13" s="86">
        <v>65.5</v>
      </c>
      <c r="K13" s="86">
        <v>51.3</v>
      </c>
      <c r="L13" s="86">
        <v>37.5</v>
      </c>
      <c r="M13" s="86">
        <v>63.2</v>
      </c>
      <c r="N13" s="86">
        <v>56.7</v>
      </c>
      <c r="O13" s="86">
        <v>91.8</v>
      </c>
      <c r="P13" s="86">
        <v>35.3</v>
      </c>
      <c r="Q13" s="86">
        <v>37.6</v>
      </c>
      <c r="R13" s="92">
        <v>76.8</v>
      </c>
      <c r="S13" s="92">
        <v>132.2</v>
      </c>
      <c r="T13" s="86">
        <v>135.1</v>
      </c>
      <c r="U13" s="86">
        <v>288</v>
      </c>
      <c r="V13" s="86">
        <v>338.2</v>
      </c>
      <c r="W13" s="86">
        <v>187.3</v>
      </c>
      <c r="X13" s="86">
        <v>615.4</v>
      </c>
      <c r="Y13" s="86">
        <v>154.6</v>
      </c>
      <c r="Z13" s="86">
        <v>86.7</v>
      </c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">
      <c r="B14" s="27" t="s">
        <v>14</v>
      </c>
      <c r="C14" s="90">
        <f t="shared" si="0"/>
        <v>2643.9000000000005</v>
      </c>
      <c r="D14" s="91">
        <v>127.9</v>
      </c>
      <c r="E14" s="86">
        <v>137.9</v>
      </c>
      <c r="F14" s="86">
        <v>27.5</v>
      </c>
      <c r="G14" s="86">
        <v>86.8</v>
      </c>
      <c r="H14" s="86">
        <v>71.4</v>
      </c>
      <c r="I14" s="86">
        <v>70.7</v>
      </c>
      <c r="J14" s="86">
        <v>92.5</v>
      </c>
      <c r="K14" s="86">
        <v>98.5</v>
      </c>
      <c r="L14" s="86">
        <v>96.5</v>
      </c>
      <c r="M14" s="86">
        <v>308.7</v>
      </c>
      <c r="N14" s="86">
        <v>206.2</v>
      </c>
      <c r="O14" s="86">
        <v>150.6</v>
      </c>
      <c r="P14" s="86">
        <v>215.6</v>
      </c>
      <c r="Q14" s="86">
        <v>198.2</v>
      </c>
      <c r="R14" s="92">
        <v>172.4</v>
      </c>
      <c r="S14" s="92">
        <v>45.9</v>
      </c>
      <c r="T14" s="86">
        <v>79.8</v>
      </c>
      <c r="U14" s="92">
        <v>18.7</v>
      </c>
      <c r="V14" s="86">
        <v>104.5</v>
      </c>
      <c r="W14" s="86">
        <v>119.9</v>
      </c>
      <c r="X14" s="86">
        <v>75.9</v>
      </c>
      <c r="Y14" s="86">
        <v>111.8</v>
      </c>
      <c r="Z14" s="86">
        <v>26</v>
      </c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292.6</v>
      </c>
      <c r="D15" s="91">
        <v>16.4</v>
      </c>
      <c r="E15" s="86">
        <v>9.6</v>
      </c>
      <c r="F15" s="86">
        <v>12</v>
      </c>
      <c r="G15" s="86">
        <v>15.6</v>
      </c>
      <c r="H15" s="86">
        <v>8.1</v>
      </c>
      <c r="I15" s="86">
        <v>17.5</v>
      </c>
      <c r="J15" s="86">
        <v>9.7</v>
      </c>
      <c r="K15" s="86">
        <v>18.9</v>
      </c>
      <c r="L15" s="86">
        <v>11.8</v>
      </c>
      <c r="M15" s="86">
        <v>9.2</v>
      </c>
      <c r="N15" s="86">
        <v>13.6</v>
      </c>
      <c r="O15" s="86">
        <v>15.3</v>
      </c>
      <c r="P15" s="86">
        <v>12.3</v>
      </c>
      <c r="Q15" s="86">
        <v>14.6</v>
      </c>
      <c r="R15" s="92">
        <v>12.6</v>
      </c>
      <c r="S15" s="92">
        <v>11.2</v>
      </c>
      <c r="T15" s="86">
        <v>9</v>
      </c>
      <c r="U15" s="92">
        <v>16.3</v>
      </c>
      <c r="V15" s="86">
        <v>8.1</v>
      </c>
      <c r="W15" s="86">
        <v>8.8</v>
      </c>
      <c r="X15" s="86">
        <v>15.1</v>
      </c>
      <c r="Y15" s="86">
        <v>10.4</v>
      </c>
      <c r="Z15" s="86">
        <v>16.5</v>
      </c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477.79999999999995</v>
      </c>
      <c r="D16" s="91">
        <v>36.3</v>
      </c>
      <c r="E16" s="86">
        <v>29.9</v>
      </c>
      <c r="F16" s="86">
        <v>9.6</v>
      </c>
      <c r="G16" s="86">
        <v>13.1</v>
      </c>
      <c r="H16" s="86">
        <v>6.9</v>
      </c>
      <c r="I16" s="86">
        <v>83.7</v>
      </c>
      <c r="J16" s="86">
        <v>4.9</v>
      </c>
      <c r="K16" s="86">
        <v>4.6</v>
      </c>
      <c r="L16" s="86">
        <v>6.3</v>
      </c>
      <c r="M16" s="86">
        <v>5.7</v>
      </c>
      <c r="N16" s="86">
        <v>28.3</v>
      </c>
      <c r="O16" s="86">
        <v>7.4</v>
      </c>
      <c r="P16" s="86">
        <v>11.1</v>
      </c>
      <c r="Q16" s="86">
        <v>29.2</v>
      </c>
      <c r="R16" s="92">
        <v>11.7</v>
      </c>
      <c r="S16" s="92">
        <v>22</v>
      </c>
      <c r="T16" s="86">
        <v>15.9</v>
      </c>
      <c r="U16" s="92">
        <v>35</v>
      </c>
      <c r="V16" s="86">
        <v>62.3</v>
      </c>
      <c r="W16" s="86">
        <v>9.7</v>
      </c>
      <c r="X16" s="92">
        <v>12</v>
      </c>
      <c r="Y16" s="86">
        <v>7.3</v>
      </c>
      <c r="Z16" s="86">
        <v>24.9</v>
      </c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SUM(D17:Z17)</f>
        <v>23515.4</v>
      </c>
      <c r="D17" s="101">
        <f>SUM(D6:D8)</f>
        <v>1337.8</v>
      </c>
      <c r="E17" s="101">
        <f aca="true" t="shared" si="2" ref="E17:Y17">SUM(E6:E8)</f>
        <v>268.9</v>
      </c>
      <c r="F17" s="101">
        <f t="shared" si="2"/>
        <v>245.7</v>
      </c>
      <c r="G17" s="101">
        <f t="shared" si="2"/>
        <v>914.1</v>
      </c>
      <c r="H17" s="101">
        <f t="shared" si="2"/>
        <v>3047.5</v>
      </c>
      <c r="I17" s="101">
        <f t="shared" si="2"/>
        <v>553.6999999999999</v>
      </c>
      <c r="J17" s="101">
        <f t="shared" si="2"/>
        <v>323.5</v>
      </c>
      <c r="K17" s="101">
        <f t="shared" si="2"/>
        <v>630.1</v>
      </c>
      <c r="L17" s="101">
        <f t="shared" si="2"/>
        <v>1407</v>
      </c>
      <c r="M17" s="101">
        <f>SUM(M6:M8)</f>
        <v>1670.3000000000002</v>
      </c>
      <c r="N17" s="101">
        <f t="shared" si="2"/>
        <v>657.6999999999999</v>
      </c>
      <c r="O17" s="101">
        <f t="shared" si="2"/>
        <v>437.49999999999994</v>
      </c>
      <c r="P17" s="101">
        <f t="shared" si="2"/>
        <v>432.09999999999997</v>
      </c>
      <c r="Q17" s="101">
        <f t="shared" si="2"/>
        <v>633.0000000000001</v>
      </c>
      <c r="R17" s="101">
        <f t="shared" si="2"/>
        <v>1249.2</v>
      </c>
      <c r="S17" s="101">
        <f t="shared" si="2"/>
        <v>1168.9</v>
      </c>
      <c r="T17" s="101">
        <f>SUM(T6:T8)</f>
        <v>803.4</v>
      </c>
      <c r="U17" s="101">
        <f t="shared" si="2"/>
        <v>1064.4</v>
      </c>
      <c r="V17" s="101">
        <f t="shared" si="2"/>
        <v>1385.5</v>
      </c>
      <c r="W17" s="101">
        <f t="shared" si="2"/>
        <v>1003.4</v>
      </c>
      <c r="X17" s="101">
        <f t="shared" si="2"/>
        <v>2453.5</v>
      </c>
      <c r="Y17" s="101">
        <f t="shared" si="2"/>
        <v>930.9</v>
      </c>
      <c r="Z17" s="101">
        <f>SUM(Z6:Z8)</f>
        <v>897.3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">
      <c r="B18" s="102" t="s">
        <v>18</v>
      </c>
      <c r="C18" s="103">
        <f>C19+C23+C29+C32+C33+C34+C35+C41+C45+C49+C52+C57+C63+C70+C75+C76+C80+C31+C66+C74+C72+C73+C77+C78+C79+C69</f>
        <v>29659.036509999998</v>
      </c>
      <c r="D18" s="103">
        <f aca="true" t="shared" si="3" ref="D18:AA18">D19+D23+D29+D32+D33+D34+D35+D41+D45+D49+D52+D57+D63+D70+D75+D76+D80+D31+D66+D74+D72+D73+D77+D78+D79+D69</f>
        <v>32.964</v>
      </c>
      <c r="E18" s="103">
        <f t="shared" si="3"/>
        <v>665.36</v>
      </c>
      <c r="F18" s="103">
        <f t="shared" si="3"/>
        <v>109.25699999999999</v>
      </c>
      <c r="G18" s="103">
        <f t="shared" si="3"/>
        <v>286.7819999999999</v>
      </c>
      <c r="H18" s="103">
        <f t="shared" si="3"/>
        <v>1418.0589999999997</v>
      </c>
      <c r="I18" s="103">
        <f t="shared" si="3"/>
        <v>348.238</v>
      </c>
      <c r="J18" s="103">
        <f t="shared" si="3"/>
        <v>1165.1709999999998</v>
      </c>
      <c r="K18" s="103">
        <f t="shared" si="3"/>
        <v>796.0310000000001</v>
      </c>
      <c r="L18" s="103">
        <f t="shared" si="3"/>
        <v>2159.513</v>
      </c>
      <c r="M18" s="103">
        <f t="shared" si="3"/>
        <v>382.111</v>
      </c>
      <c r="N18" s="103">
        <f t="shared" si="3"/>
        <v>345.31600000000003</v>
      </c>
      <c r="O18" s="103">
        <f t="shared" si="3"/>
        <v>330.658</v>
      </c>
      <c r="P18" s="103">
        <f t="shared" si="3"/>
        <v>3088.642</v>
      </c>
      <c r="Q18" s="103">
        <f t="shared" si="3"/>
        <v>963.4559999999999</v>
      </c>
      <c r="R18" s="103">
        <f t="shared" si="3"/>
        <v>132.894</v>
      </c>
      <c r="S18" s="103">
        <f t="shared" si="3"/>
        <v>813.1709999999999</v>
      </c>
      <c r="T18" s="103">
        <f t="shared" si="3"/>
        <v>542.3109999999999</v>
      </c>
      <c r="U18" s="103">
        <f t="shared" si="3"/>
        <v>2137.594</v>
      </c>
      <c r="V18" s="103">
        <f t="shared" si="3"/>
        <v>978.2890000000001</v>
      </c>
      <c r="W18" s="103">
        <f t="shared" si="3"/>
        <v>1528.833</v>
      </c>
      <c r="X18" s="103">
        <f t="shared" si="3"/>
        <v>54.813</v>
      </c>
      <c r="Y18" s="103">
        <f t="shared" si="3"/>
        <v>-3.114</v>
      </c>
      <c r="Z18" s="103">
        <f t="shared" si="3"/>
        <v>-9.2</v>
      </c>
      <c r="AA18" s="103">
        <f t="shared" si="3"/>
        <v>18267.148999999998</v>
      </c>
      <c r="AB18" s="104">
        <f aca="true" t="shared" si="4" ref="AB18:AB81">AA18-C18</f>
        <v>-11391.88751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">
      <c r="A19" s="66">
        <v>10116</v>
      </c>
      <c r="B19" s="105" t="s">
        <v>19</v>
      </c>
      <c r="C19" s="106">
        <f aca="true" t="shared" si="5" ref="C19:AA19">SUM(C20:C22)</f>
        <v>5042.134999999999</v>
      </c>
      <c r="D19" s="106">
        <f t="shared" si="5"/>
        <v>0.282</v>
      </c>
      <c r="E19" s="106">
        <f t="shared" si="5"/>
        <v>361.307</v>
      </c>
      <c r="F19" s="106">
        <f t="shared" si="5"/>
        <v>15.572999999999999</v>
      </c>
      <c r="G19" s="106">
        <f t="shared" si="5"/>
        <v>0</v>
      </c>
      <c r="H19" s="106">
        <f t="shared" si="5"/>
        <v>137.613</v>
      </c>
      <c r="I19" s="106">
        <f t="shared" si="5"/>
        <v>19.612</v>
      </c>
      <c r="J19" s="106">
        <f t="shared" si="5"/>
        <v>57.794</v>
      </c>
      <c r="K19" s="106">
        <f t="shared" si="5"/>
        <v>9.835</v>
      </c>
      <c r="L19" s="106">
        <f t="shared" si="5"/>
        <v>1061.47</v>
      </c>
      <c r="M19" s="106">
        <f t="shared" si="5"/>
        <v>0</v>
      </c>
      <c r="N19" s="106">
        <f t="shared" si="5"/>
        <v>0.747</v>
      </c>
      <c r="O19" s="106">
        <f t="shared" si="5"/>
        <v>38.191</v>
      </c>
      <c r="P19" s="106">
        <f t="shared" si="5"/>
        <v>68.878</v>
      </c>
      <c r="Q19" s="106">
        <f t="shared" si="5"/>
        <v>11.719999999999999</v>
      </c>
      <c r="R19" s="106">
        <f t="shared" si="5"/>
        <v>21.204</v>
      </c>
      <c r="S19" s="106">
        <f t="shared" si="5"/>
        <v>0.384</v>
      </c>
      <c r="T19" s="106">
        <f>SUM(T20:T22)</f>
        <v>12.879</v>
      </c>
      <c r="U19" s="106">
        <f t="shared" si="5"/>
        <v>170.008</v>
      </c>
      <c r="V19" s="106">
        <f t="shared" si="5"/>
        <v>186.905</v>
      </c>
      <c r="W19" s="106">
        <f t="shared" si="5"/>
        <v>1376.617</v>
      </c>
      <c r="X19" s="106">
        <f t="shared" si="5"/>
        <v>34.059</v>
      </c>
      <c r="Y19" s="106">
        <f t="shared" si="5"/>
        <v>0.5349999999999999</v>
      </c>
      <c r="Z19" s="106">
        <f>SUM(Z20:Z22)</f>
        <v>0</v>
      </c>
      <c r="AA19" s="106">
        <f t="shared" si="5"/>
        <v>3585.613</v>
      </c>
      <c r="AB19" s="104">
        <f t="shared" si="4"/>
        <v>-1456.5219999999995</v>
      </c>
      <c r="AD19" s="73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2:33" ht="15">
      <c r="B20" s="107" t="s">
        <v>20</v>
      </c>
      <c r="C20" s="108">
        <f>3498.028+9.7+22.968+62</f>
        <v>3592.6959999999995</v>
      </c>
      <c r="D20" s="81"/>
      <c r="E20" s="81">
        <v>338.704</v>
      </c>
      <c r="F20" s="81">
        <v>15.155</v>
      </c>
      <c r="G20" s="81"/>
      <c r="H20" s="81">
        <v>16.785</v>
      </c>
      <c r="I20" s="81"/>
      <c r="J20" s="86">
        <v>57.169</v>
      </c>
      <c r="K20" s="81"/>
      <c r="L20" s="81">
        <v>1060.597</v>
      </c>
      <c r="M20" s="81"/>
      <c r="N20" s="81"/>
      <c r="O20" s="81">
        <v>34.981</v>
      </c>
      <c r="P20" s="81"/>
      <c r="Q20" s="81"/>
      <c r="R20" s="81">
        <v>8.535</v>
      </c>
      <c r="S20" s="81"/>
      <c r="T20" s="81">
        <v>12.813</v>
      </c>
      <c r="U20" s="81">
        <v>170.008</v>
      </c>
      <c r="V20" s="86">
        <v>186.905</v>
      </c>
      <c r="W20" s="86">
        <v>1376.557</v>
      </c>
      <c r="X20" s="86"/>
      <c r="Y20" s="81"/>
      <c r="Z20" s="81"/>
      <c r="AA20" s="81">
        <f>SUM(D20:Z20)</f>
        <v>3278.209</v>
      </c>
      <c r="AB20" s="104">
        <f t="shared" si="4"/>
        <v>-314.4869999999996</v>
      </c>
      <c r="AC20" s="71"/>
      <c r="AD20" s="67" t="s">
        <v>21</v>
      </c>
      <c r="AE20" s="109">
        <f>AA19</f>
        <v>3585.613</v>
      </c>
      <c r="AG20" s="72"/>
    </row>
    <row r="21" spans="2:33" ht="15">
      <c r="B21" s="107" t="s">
        <v>22</v>
      </c>
      <c r="C21" s="108">
        <v>330.176</v>
      </c>
      <c r="D21" s="81"/>
      <c r="E21" s="81"/>
      <c r="F21" s="81"/>
      <c r="G21" s="81"/>
      <c r="H21" s="81"/>
      <c r="I21" s="81"/>
      <c r="J21" s="86"/>
      <c r="K21" s="81"/>
      <c r="L21" s="81"/>
      <c r="M21" s="81"/>
      <c r="N21" s="81">
        <v>0.747</v>
      </c>
      <c r="O21" s="81"/>
      <c r="P21" s="81">
        <v>20.875</v>
      </c>
      <c r="Q21" s="81">
        <v>-4.407</v>
      </c>
      <c r="R21" s="81">
        <v>0.681</v>
      </c>
      <c r="S21" s="81">
        <v>0.384</v>
      </c>
      <c r="T21" s="81">
        <v>-0.14</v>
      </c>
      <c r="U21" s="81"/>
      <c r="V21" s="86"/>
      <c r="W21" s="86"/>
      <c r="X21" s="86"/>
      <c r="Y21" s="81">
        <v>1.728</v>
      </c>
      <c r="Z21" s="81"/>
      <c r="AA21" s="81">
        <f>SUM(D21:Z21)</f>
        <v>19.868000000000002</v>
      </c>
      <c r="AB21" s="104">
        <f t="shared" si="4"/>
        <v>-310.308</v>
      </c>
      <c r="AC21" s="71"/>
      <c r="AD21" s="67" t="s">
        <v>23</v>
      </c>
      <c r="AE21" s="109">
        <f>AA23</f>
        <v>4319.349999999999</v>
      </c>
      <c r="AG21" s="72"/>
    </row>
    <row r="22" spans="2:33" ht="15">
      <c r="B22" s="107" t="s">
        <v>24</v>
      </c>
      <c r="C22" s="108">
        <f>1181.963-0.7-62</f>
        <v>1119.263</v>
      </c>
      <c r="D22" s="81">
        <v>0.282</v>
      </c>
      <c r="E22" s="81">
        <v>22.603</v>
      </c>
      <c r="F22" s="81">
        <v>0.418</v>
      </c>
      <c r="G22" s="81"/>
      <c r="H22" s="81">
        <v>120.828</v>
      </c>
      <c r="I22" s="81">
        <v>19.612</v>
      </c>
      <c r="J22" s="81">
        <v>0.625</v>
      </c>
      <c r="K22" s="81">
        <v>9.835</v>
      </c>
      <c r="L22" s="81">
        <v>0.873</v>
      </c>
      <c r="M22" s="81"/>
      <c r="N22" s="81"/>
      <c r="O22" s="81">
        <v>3.21</v>
      </c>
      <c r="P22" s="81">
        <v>48.003</v>
      </c>
      <c r="Q22" s="81">
        <v>16.127</v>
      </c>
      <c r="R22" s="81">
        <v>11.988</v>
      </c>
      <c r="S22" s="81"/>
      <c r="T22" s="81">
        <v>0.206</v>
      </c>
      <c r="U22" s="81"/>
      <c r="V22" s="81"/>
      <c r="W22" s="81">
        <v>0.06</v>
      </c>
      <c r="X22" s="81">
        <v>34.059</v>
      </c>
      <c r="Y22" s="81">
        <f>0.535-1.728</f>
        <v>-1.193</v>
      </c>
      <c r="Z22" s="81"/>
      <c r="AA22" s="81">
        <f>SUM(D22:Z22)</f>
        <v>287.536</v>
      </c>
      <c r="AB22" s="104">
        <f t="shared" si="4"/>
        <v>-831.7269999999999</v>
      </c>
      <c r="AC22" s="71"/>
      <c r="AD22" s="67" t="s">
        <v>25</v>
      </c>
      <c r="AE22" s="109">
        <f>$AA$29+$AA$31</f>
        <v>94.236</v>
      </c>
      <c r="AG22" s="72"/>
    </row>
    <row r="23" spans="1:40" s="66" customFormat="1" ht="15">
      <c r="A23" s="66">
        <v>7000</v>
      </c>
      <c r="B23" s="105" t="s">
        <v>26</v>
      </c>
      <c r="C23" s="106">
        <f aca="true" t="shared" si="6" ref="C23:AA23">SUM(C24:C28)</f>
        <v>12783.225999999999</v>
      </c>
      <c r="D23" s="106">
        <f t="shared" si="6"/>
        <v>0</v>
      </c>
      <c r="E23" s="106">
        <f t="shared" si="6"/>
        <v>0</v>
      </c>
      <c r="F23" s="106">
        <f t="shared" si="6"/>
        <v>55.327</v>
      </c>
      <c r="G23" s="106">
        <f t="shared" si="6"/>
        <v>158.69799999999998</v>
      </c>
      <c r="H23" s="106">
        <f t="shared" si="6"/>
        <v>0</v>
      </c>
      <c r="I23" s="106">
        <f t="shared" si="6"/>
        <v>61.297</v>
      </c>
      <c r="J23" s="106">
        <f t="shared" si="6"/>
        <v>435.147</v>
      </c>
      <c r="K23" s="106">
        <f t="shared" si="6"/>
        <v>639.875</v>
      </c>
      <c r="L23" s="106">
        <f t="shared" si="6"/>
        <v>689.2760000000001</v>
      </c>
      <c r="M23" s="106">
        <f t="shared" si="6"/>
        <v>28.78</v>
      </c>
      <c r="N23" s="106">
        <f t="shared" si="6"/>
        <v>119.211</v>
      </c>
      <c r="O23" s="106">
        <f t="shared" si="6"/>
        <v>76.874</v>
      </c>
      <c r="P23" s="106">
        <f t="shared" si="6"/>
        <v>49.134</v>
      </c>
      <c r="Q23" s="106">
        <f>SUM(Q24:Q28)</f>
        <v>0</v>
      </c>
      <c r="R23" s="106">
        <f t="shared" si="6"/>
        <v>91.119</v>
      </c>
      <c r="S23" s="106">
        <f t="shared" si="6"/>
        <v>765.318</v>
      </c>
      <c r="T23" s="106">
        <f>SUM(T24:T28)</f>
        <v>189.04899999999998</v>
      </c>
      <c r="U23" s="106">
        <f>SUM(U24:U28)</f>
        <v>945.901</v>
      </c>
      <c r="V23" s="106">
        <f t="shared" si="6"/>
        <v>14.993</v>
      </c>
      <c r="W23" s="106">
        <f t="shared" si="6"/>
        <v>0</v>
      </c>
      <c r="X23" s="106">
        <f t="shared" si="6"/>
        <v>0</v>
      </c>
      <c r="Y23" s="106">
        <f t="shared" si="6"/>
        <v>-0.649</v>
      </c>
      <c r="Z23" s="106">
        <f>SUM(Z24:Z28)</f>
        <v>0</v>
      </c>
      <c r="AA23" s="106">
        <f t="shared" si="6"/>
        <v>4319.349999999999</v>
      </c>
      <c r="AB23" s="104">
        <f t="shared" si="4"/>
        <v>-8463.876</v>
      </c>
      <c r="AC23" s="65"/>
      <c r="AD23" s="67" t="s">
        <v>27</v>
      </c>
      <c r="AE23" s="109">
        <f>$AA$32+$AA$33+$AA$35+$AA$41+$AA$45+$AA$34</f>
        <v>1417.5040000000001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">
      <c r="B24" s="107" t="s">
        <v>20</v>
      </c>
      <c r="C24" s="108">
        <f>9566.317-22.968</f>
        <v>9543.348999999998</v>
      </c>
      <c r="D24" s="81"/>
      <c r="E24" s="81"/>
      <c r="F24" s="81">
        <v>2.577</v>
      </c>
      <c r="G24" s="81">
        <v>140.987</v>
      </c>
      <c r="H24" s="81"/>
      <c r="I24" s="81">
        <v>26.115</v>
      </c>
      <c r="J24" s="86">
        <f>358.286+52.642</f>
        <v>410.928</v>
      </c>
      <c r="K24" s="81">
        <f>520.9+51.174</f>
        <v>572.074</v>
      </c>
      <c r="L24" s="81">
        <f>288.119+3.61+367.008</f>
        <v>658.7370000000001</v>
      </c>
      <c r="M24" s="81"/>
      <c r="N24" s="81">
        <v>112.83</v>
      </c>
      <c r="O24" s="81">
        <f>31.955+15.133+9.911</f>
        <v>56.998999999999995</v>
      </c>
      <c r="P24" s="81"/>
      <c r="Q24" s="81"/>
      <c r="R24" s="110">
        <v>63.264</v>
      </c>
      <c r="S24" s="81">
        <f>323.096+358.765</f>
        <v>681.861</v>
      </c>
      <c r="T24" s="81">
        <f>157.402+10.191+16.711</f>
        <v>184.30399999999997</v>
      </c>
      <c r="U24" s="81">
        <f>772.685+44.381</f>
        <v>817.0659999999999</v>
      </c>
      <c r="V24" s="86"/>
      <c r="W24" s="86"/>
      <c r="X24" s="86"/>
      <c r="Y24" s="81"/>
      <c r="Z24" s="81"/>
      <c r="AA24" s="81">
        <f>SUM(D24:Z24)</f>
        <v>3727.7419999999997</v>
      </c>
      <c r="AB24" s="104">
        <f t="shared" si="4"/>
        <v>-5815.606999999998</v>
      </c>
      <c r="AC24" s="71"/>
      <c r="AD24" s="67" t="s">
        <v>28</v>
      </c>
      <c r="AE24" s="109">
        <f>$AA$63+$AA$66+AA73</f>
        <v>1626.254</v>
      </c>
      <c r="AG24" s="72"/>
    </row>
    <row r="25" spans="2:33" ht="15">
      <c r="B25" s="107" t="s">
        <v>29</v>
      </c>
      <c r="C25" s="108">
        <v>12.224</v>
      </c>
      <c r="D25" s="81"/>
      <c r="E25" s="81"/>
      <c r="F25" s="81"/>
      <c r="G25" s="81"/>
      <c r="H25" s="81"/>
      <c r="I25" s="81"/>
      <c r="J25" s="86"/>
      <c r="K25" s="81"/>
      <c r="L25" s="81"/>
      <c r="M25" s="81">
        <v>2</v>
      </c>
      <c r="N25" s="81"/>
      <c r="O25" s="81"/>
      <c r="P25" s="81"/>
      <c r="Q25" s="81"/>
      <c r="R25" s="110"/>
      <c r="S25" s="81"/>
      <c r="T25" s="81"/>
      <c r="U25" s="81"/>
      <c r="V25" s="86"/>
      <c r="W25" s="86"/>
      <c r="X25" s="86"/>
      <c r="Y25" s="81"/>
      <c r="Z25" s="81"/>
      <c r="AA25" s="81">
        <f>SUM(D25:Z25)</f>
        <v>2</v>
      </c>
      <c r="AB25" s="104">
        <f t="shared" si="4"/>
        <v>-10.224</v>
      </c>
      <c r="AC25" s="71"/>
      <c r="AD25" s="67" t="s">
        <v>30</v>
      </c>
      <c r="AE25" s="109">
        <f>$AA$52</f>
        <v>572.182</v>
      </c>
      <c r="AG25" s="72"/>
    </row>
    <row r="26" spans="2:33" ht="15">
      <c r="B26" s="107" t="s">
        <v>31</v>
      </c>
      <c r="C26" s="108">
        <v>625.566</v>
      </c>
      <c r="D26" s="81"/>
      <c r="E26" s="81"/>
      <c r="F26" s="81">
        <v>1.18</v>
      </c>
      <c r="G26" s="81"/>
      <c r="H26" s="81"/>
      <c r="I26" s="81">
        <v>17.729</v>
      </c>
      <c r="J26" s="86"/>
      <c r="K26" s="81">
        <v>33.951</v>
      </c>
      <c r="L26" s="81"/>
      <c r="M26" s="81">
        <v>19.57</v>
      </c>
      <c r="N26" s="81"/>
      <c r="O26" s="81"/>
      <c r="P26" s="81">
        <v>11.45</v>
      </c>
      <c r="Q26" s="81"/>
      <c r="R26" s="110"/>
      <c r="S26" s="81">
        <v>2.819</v>
      </c>
      <c r="T26" s="81"/>
      <c r="U26" s="81">
        <v>80.047</v>
      </c>
      <c r="V26" s="86"/>
      <c r="W26" s="86"/>
      <c r="X26" s="86"/>
      <c r="Y26" s="81"/>
      <c r="Z26" s="81"/>
      <c r="AA26" s="81">
        <f>SUM(D26:Z26)</f>
        <v>166.746</v>
      </c>
      <c r="AB26" s="104">
        <f t="shared" si="4"/>
        <v>-458.82000000000005</v>
      </c>
      <c r="AC26" s="71"/>
      <c r="AD26" s="67" t="s">
        <v>32</v>
      </c>
      <c r="AE26" s="109">
        <f>$AA$57</f>
        <v>483.43100000000004</v>
      </c>
      <c r="AG26" s="72"/>
    </row>
    <row r="27" spans="2:33" ht="15">
      <c r="B27" s="107" t="s">
        <v>22</v>
      </c>
      <c r="C27" s="108">
        <v>587.184</v>
      </c>
      <c r="D27" s="81"/>
      <c r="E27" s="81"/>
      <c r="F27" s="81">
        <v>0.507</v>
      </c>
      <c r="G27" s="81"/>
      <c r="H27" s="81"/>
      <c r="I27" s="81"/>
      <c r="J27" s="86"/>
      <c r="K27" s="81">
        <v>15.239</v>
      </c>
      <c r="L27" s="81">
        <v>5.886</v>
      </c>
      <c r="M27" s="81"/>
      <c r="N27" s="81">
        <v>4.235</v>
      </c>
      <c r="O27" s="81">
        <v>0.006</v>
      </c>
      <c r="P27" s="81">
        <v>6.141</v>
      </c>
      <c r="Q27" s="81"/>
      <c r="R27" s="110">
        <v>13.735</v>
      </c>
      <c r="S27" s="81">
        <v>18.762</v>
      </c>
      <c r="T27" s="81">
        <v>2.645</v>
      </c>
      <c r="U27" s="81">
        <v>20.984</v>
      </c>
      <c r="V27" s="86"/>
      <c r="W27" s="86"/>
      <c r="X27" s="86"/>
      <c r="Y27" s="81">
        <v>-0.649</v>
      </c>
      <c r="Z27" s="81"/>
      <c r="AA27" s="81">
        <f>SUM(D27:Z27)</f>
        <v>87.49099999999999</v>
      </c>
      <c r="AB27" s="104">
        <f t="shared" si="4"/>
        <v>-499.693</v>
      </c>
      <c r="AC27" s="71"/>
      <c r="AD27" s="67" t="s">
        <v>33</v>
      </c>
      <c r="AE27" s="109">
        <f>$AA$49+$AA$70+$AA$75+$AA$76+$AA$80+$AA$72+$AA$74+$AA$77+$AA$78+$AA$79</f>
        <v>6168.579</v>
      </c>
      <c r="AG27" s="72"/>
    </row>
    <row r="28" spans="2:33" ht="15">
      <c r="B28" s="107" t="s">
        <v>24</v>
      </c>
      <c r="C28" s="108">
        <v>2014.903</v>
      </c>
      <c r="D28" s="81"/>
      <c r="E28" s="81"/>
      <c r="F28" s="81">
        <v>51.063</v>
      </c>
      <c r="G28" s="81">
        <v>17.711</v>
      </c>
      <c r="H28" s="81"/>
      <c r="I28" s="81">
        <f>17.288+0.165</f>
        <v>17.453</v>
      </c>
      <c r="J28" s="81">
        <v>24.219</v>
      </c>
      <c r="K28" s="81">
        <f>6.904+11.707</f>
        <v>18.611</v>
      </c>
      <c r="L28" s="81">
        <v>24.653</v>
      </c>
      <c r="M28" s="81">
        <v>7.21</v>
      </c>
      <c r="N28" s="81">
        <v>2.146</v>
      </c>
      <c r="O28" s="81">
        <f>15.209+4.66</f>
        <v>19.869</v>
      </c>
      <c r="P28" s="81">
        <v>31.543</v>
      </c>
      <c r="Q28" s="81"/>
      <c r="R28" s="81">
        <v>14.12</v>
      </c>
      <c r="S28" s="81">
        <v>61.876</v>
      </c>
      <c r="T28" s="81">
        <v>2.1</v>
      </c>
      <c r="U28" s="81">
        <v>27.804</v>
      </c>
      <c r="V28" s="81">
        <v>14.993</v>
      </c>
      <c r="W28" s="81"/>
      <c r="X28" s="81"/>
      <c r="Y28" s="81"/>
      <c r="Z28" s="81"/>
      <c r="AA28" s="81">
        <f>SUM(D28:Z28)</f>
        <v>335.371</v>
      </c>
      <c r="AB28" s="104">
        <f t="shared" si="4"/>
        <v>-1679.5320000000002</v>
      </c>
      <c r="AC28" s="71"/>
      <c r="AE28" s="111"/>
      <c r="AG28" s="72"/>
    </row>
    <row r="29" spans="2:33" ht="27.75">
      <c r="B29" s="105" t="s">
        <v>34</v>
      </c>
      <c r="C29" s="106">
        <f>C30</f>
        <v>643.475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0</v>
      </c>
      <c r="G29" s="106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0</v>
      </c>
      <c r="K29" s="106">
        <f t="shared" si="7"/>
        <v>21.621</v>
      </c>
      <c r="L29" s="106">
        <f t="shared" si="7"/>
        <v>0</v>
      </c>
      <c r="M29" s="106">
        <f t="shared" si="7"/>
        <v>0</v>
      </c>
      <c r="N29" s="106">
        <f t="shared" si="7"/>
        <v>0</v>
      </c>
      <c r="O29" s="106">
        <f t="shared" si="7"/>
        <v>36.05</v>
      </c>
      <c r="P29" s="106">
        <f t="shared" si="7"/>
        <v>0</v>
      </c>
      <c r="Q29" s="106">
        <f t="shared" si="7"/>
        <v>7.67</v>
      </c>
      <c r="R29" s="106">
        <f t="shared" si="7"/>
        <v>13.281</v>
      </c>
      <c r="S29" s="106">
        <f t="shared" si="7"/>
        <v>0</v>
      </c>
      <c r="T29" s="106">
        <f t="shared" si="7"/>
        <v>0</v>
      </c>
      <c r="U29" s="106">
        <f t="shared" si="7"/>
        <v>15.614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94.236</v>
      </c>
      <c r="AB29" s="104">
        <f t="shared" si="4"/>
        <v>-549.239</v>
      </c>
      <c r="AC29" s="71"/>
      <c r="AE29" s="111"/>
      <c r="AG29" s="72"/>
    </row>
    <row r="30" spans="2:31" ht="15">
      <c r="B30" s="112" t="s">
        <v>35</v>
      </c>
      <c r="C30" s="113">
        <v>643.475</v>
      </c>
      <c r="D30" s="86"/>
      <c r="E30" s="86"/>
      <c r="F30" s="86"/>
      <c r="G30" s="86"/>
      <c r="H30" s="86"/>
      <c r="I30" s="86"/>
      <c r="J30" s="86"/>
      <c r="K30" s="86">
        <v>21.621</v>
      </c>
      <c r="L30" s="86"/>
      <c r="M30" s="86"/>
      <c r="N30" s="86"/>
      <c r="O30" s="86">
        <v>36.05</v>
      </c>
      <c r="P30" s="86"/>
      <c r="Q30" s="86">
        <v>7.67</v>
      </c>
      <c r="R30" s="86">
        <v>13.281</v>
      </c>
      <c r="S30" s="86"/>
      <c r="T30" s="86"/>
      <c r="U30" s="86">
        <v>15.614</v>
      </c>
      <c r="V30" s="86"/>
      <c r="W30" s="86"/>
      <c r="X30" s="86"/>
      <c r="Y30" s="113"/>
      <c r="Z30" s="113"/>
      <c r="AA30" s="81">
        <f>SUM(D30:Z30)</f>
        <v>94.236</v>
      </c>
      <c r="AB30" s="104">
        <f t="shared" si="4"/>
        <v>-549.239</v>
      </c>
      <c r="AE30" s="111"/>
    </row>
    <row r="31" spans="2:31" ht="42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0</v>
      </c>
      <c r="AE31" s="111"/>
    </row>
    <row r="32" spans="1:40" s="66" customFormat="1" ht="27.75">
      <c r="A32" s="66" t="s">
        <v>37</v>
      </c>
      <c r="B32" s="105" t="s">
        <v>38</v>
      </c>
      <c r="C32" s="106">
        <f>810.726+0.7</f>
        <v>811.426</v>
      </c>
      <c r="D32" s="106"/>
      <c r="E32" s="106">
        <v>4</v>
      </c>
      <c r="F32" s="106">
        <v>1.336</v>
      </c>
      <c r="G32" s="106">
        <f>2.491+21.9</f>
        <v>24.391</v>
      </c>
      <c r="H32" s="106">
        <f>15.066-14.6</f>
        <v>0.4660000000000011</v>
      </c>
      <c r="I32" s="106"/>
      <c r="J32" s="106">
        <v>14.6</v>
      </c>
      <c r="K32" s="106">
        <v>1.872</v>
      </c>
      <c r="L32" s="106">
        <f>12.78+1</f>
        <v>13.78</v>
      </c>
      <c r="M32" s="106">
        <v>0.6</v>
      </c>
      <c r="N32" s="106"/>
      <c r="O32" s="106">
        <f>52.702+52.702</f>
        <v>105.404</v>
      </c>
      <c r="P32" s="106">
        <v>22.902</v>
      </c>
      <c r="Q32" s="106"/>
      <c r="R32" s="106">
        <v>7.29</v>
      </c>
      <c r="S32" s="106">
        <v>3.525</v>
      </c>
      <c r="T32" s="106"/>
      <c r="U32" s="106">
        <v>-0.229</v>
      </c>
      <c r="V32" s="106">
        <f>6.081+47.886+6.081</f>
        <v>60.04800000000001</v>
      </c>
      <c r="W32" s="106"/>
      <c r="X32" s="106"/>
      <c r="Y32" s="106"/>
      <c r="Z32" s="106">
        <v>-2</v>
      </c>
      <c r="AA32" s="106">
        <f>SUM(D32:Z32)</f>
        <v>257.985</v>
      </c>
      <c r="AB32" s="104">
        <f t="shared" si="4"/>
        <v>-553.441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2">
      <c r="B33" s="105" t="s">
        <v>39</v>
      </c>
      <c r="C33" s="106">
        <v>713.268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>
        <v>98.57</v>
      </c>
      <c r="O33" s="106"/>
      <c r="P33" s="106"/>
      <c r="Q33" s="106"/>
      <c r="R33" s="106"/>
      <c r="S33" s="106"/>
      <c r="T33" s="114"/>
      <c r="U33" s="106"/>
      <c r="V33" s="106"/>
      <c r="W33" s="106"/>
      <c r="X33" s="106"/>
      <c r="Y33" s="106"/>
      <c r="Z33" s="106"/>
      <c r="AA33" s="106">
        <f>SUM(D33:Z33)</f>
        <v>98.57</v>
      </c>
      <c r="AB33" s="104">
        <f t="shared" si="4"/>
        <v>-614.6980000000001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42">
      <c r="B34" s="105" t="s">
        <v>41</v>
      </c>
      <c r="C34" s="106">
        <v>63.818</v>
      </c>
      <c r="D34" s="106"/>
      <c r="E34" s="106"/>
      <c r="F34" s="106"/>
      <c r="G34" s="106">
        <v>45.569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45.569</v>
      </c>
      <c r="AB34" s="104">
        <f t="shared" si="4"/>
        <v>-18.248999999999995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">
      <c r="B35" s="105" t="s">
        <v>42</v>
      </c>
      <c r="C35" s="106">
        <f>SUM(C36:C40)</f>
        <v>709.1969999999999</v>
      </c>
      <c r="D35" s="106">
        <f>SUM(D36:D40)</f>
        <v>0</v>
      </c>
      <c r="E35" s="106">
        <f>SUM(E36:E40)</f>
        <v>0</v>
      </c>
      <c r="F35" s="106">
        <f>SUM(F36:F40)</f>
        <v>7.021</v>
      </c>
      <c r="G35" s="106">
        <f aca="true" t="shared" si="8" ref="G35:S35">SUM(G36:G40)</f>
        <v>0</v>
      </c>
      <c r="H35" s="106">
        <f t="shared" si="8"/>
        <v>0</v>
      </c>
      <c r="I35" s="106">
        <f t="shared" si="8"/>
        <v>0</v>
      </c>
      <c r="J35" s="106">
        <f t="shared" si="8"/>
        <v>8.109</v>
      </c>
      <c r="K35" s="106">
        <f t="shared" si="8"/>
        <v>7.085</v>
      </c>
      <c r="L35" s="106">
        <f t="shared" si="8"/>
        <v>213.857</v>
      </c>
      <c r="M35" s="106">
        <f t="shared" si="8"/>
        <v>0</v>
      </c>
      <c r="N35" s="106">
        <f t="shared" si="8"/>
        <v>0</v>
      </c>
      <c r="O35" s="106">
        <f t="shared" si="8"/>
        <v>0</v>
      </c>
      <c r="P35" s="106">
        <f t="shared" si="8"/>
        <v>3.562</v>
      </c>
      <c r="Q35" s="106">
        <f t="shared" si="8"/>
        <v>0</v>
      </c>
      <c r="R35" s="106">
        <f t="shared" si="8"/>
        <v>0</v>
      </c>
      <c r="S35" s="106">
        <f t="shared" si="8"/>
        <v>0</v>
      </c>
      <c r="T35" s="106">
        <f>SUM(T36:T40)</f>
        <v>0</v>
      </c>
      <c r="U35" s="106">
        <f>SUM(U36:U40)</f>
        <v>0</v>
      </c>
      <c r="V35" s="106">
        <f aca="true" t="shared" si="9" ref="V35:AA35">SUM(V36:V40)</f>
        <v>396.484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636.1179999999999</v>
      </c>
      <c r="AB35" s="104">
        <f t="shared" si="4"/>
        <v>-73.07899999999995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">
      <c r="B36" s="107" t="s">
        <v>20</v>
      </c>
      <c r="C36" s="108">
        <f>612.609+2.9</f>
        <v>615.509</v>
      </c>
      <c r="D36" s="81"/>
      <c r="E36" s="81"/>
      <c r="F36" s="81">
        <v>0.819</v>
      </c>
      <c r="G36" s="81"/>
      <c r="H36" s="81"/>
      <c r="I36" s="81"/>
      <c r="J36" s="86">
        <v>8.109</v>
      </c>
      <c r="K36" s="81"/>
      <c r="L36" s="81">
        <v>213.857</v>
      </c>
      <c r="M36" s="81"/>
      <c r="N36" s="81"/>
      <c r="O36" s="81"/>
      <c r="P36" s="110"/>
      <c r="Q36" s="81"/>
      <c r="R36" s="110"/>
      <c r="S36" s="81"/>
      <c r="T36" s="81"/>
      <c r="U36" s="81"/>
      <c r="V36" s="86">
        <v>392.424</v>
      </c>
      <c r="W36" s="86"/>
      <c r="X36" s="81"/>
      <c r="Y36" s="81"/>
      <c r="Z36" s="81"/>
      <c r="AA36" s="81">
        <f>SUM(D36:Z36)</f>
        <v>615.209</v>
      </c>
      <c r="AB36" s="104">
        <f t="shared" si="4"/>
        <v>-0.3000000000000682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">
      <c r="B37" s="107" t="s">
        <v>29</v>
      </c>
      <c r="C37" s="108">
        <v>2.41</v>
      </c>
      <c r="D37" s="81"/>
      <c r="E37" s="81"/>
      <c r="F37" s="81"/>
      <c r="G37" s="81"/>
      <c r="H37" s="81"/>
      <c r="I37" s="81"/>
      <c r="J37" s="86"/>
      <c r="K37" s="81">
        <v>1.792</v>
      </c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1.792</v>
      </c>
      <c r="AB37" s="104">
        <f t="shared" si="4"/>
        <v>-0.6180000000000001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/>
      <c r="R38" s="110"/>
      <c r="S38" s="81"/>
      <c r="T38" s="81"/>
      <c r="U38" s="81"/>
      <c r="V38" s="86">
        <v>3.3</v>
      </c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">
      <c r="B39" s="107" t="s">
        <v>22</v>
      </c>
      <c r="C39" s="108">
        <f>15.919-2.9</f>
        <v>13.019</v>
      </c>
      <c r="D39" s="81"/>
      <c r="E39" s="81"/>
      <c r="F39" s="81">
        <v>1.138</v>
      </c>
      <c r="G39" s="81"/>
      <c r="H39" s="81"/>
      <c r="I39" s="81"/>
      <c r="J39" s="81"/>
      <c r="K39" s="81"/>
      <c r="L39" s="81"/>
      <c r="M39" s="81"/>
      <c r="N39" s="81"/>
      <c r="O39" s="81"/>
      <c r="P39" s="110">
        <v>3.562</v>
      </c>
      <c r="Q39" s="81"/>
      <c r="R39" s="110"/>
      <c r="S39" s="81"/>
      <c r="T39" s="81"/>
      <c r="U39" s="81"/>
      <c r="V39" s="86"/>
      <c r="W39" s="86"/>
      <c r="X39" s="81"/>
      <c r="Y39" s="81"/>
      <c r="Z39" s="81"/>
      <c r="AA39" s="81">
        <f>SUM(D39:Z39)</f>
        <v>4.699999999999999</v>
      </c>
      <c r="AB39" s="104">
        <f t="shared" si="4"/>
        <v>-8.319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">
      <c r="B40" s="107" t="s">
        <v>24</v>
      </c>
      <c r="C40" s="108">
        <v>74.959</v>
      </c>
      <c r="D40" s="81"/>
      <c r="E40" s="81"/>
      <c r="F40" s="81">
        <v>5.064</v>
      </c>
      <c r="G40" s="81"/>
      <c r="H40" s="81"/>
      <c r="I40" s="81"/>
      <c r="J40" s="81"/>
      <c r="K40" s="81">
        <v>5.293</v>
      </c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>
        <v>0.76</v>
      </c>
      <c r="W40" s="81"/>
      <c r="X40" s="81"/>
      <c r="Y40" s="81"/>
      <c r="Z40" s="81"/>
      <c r="AA40" s="81">
        <f>SUM(D40:Z40)</f>
        <v>11.116999999999999</v>
      </c>
      <c r="AB40" s="104">
        <f t="shared" si="4"/>
        <v>-63.842000000000006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">
      <c r="B41" s="105" t="s">
        <v>43</v>
      </c>
      <c r="C41" s="106">
        <f aca="true" t="shared" si="10" ref="C41:S41">SUM(C42:C44)</f>
        <v>427.955</v>
      </c>
      <c r="D41" s="106">
        <f t="shared" si="10"/>
        <v>0</v>
      </c>
      <c r="E41" s="106">
        <f t="shared" si="10"/>
        <v>0</v>
      </c>
      <c r="F41" s="106">
        <f t="shared" si="10"/>
        <v>0</v>
      </c>
      <c r="G41" s="106">
        <f t="shared" si="10"/>
        <v>0</v>
      </c>
      <c r="H41" s="106">
        <f t="shared" si="10"/>
        <v>0</v>
      </c>
      <c r="I41" s="106">
        <f t="shared" si="10"/>
        <v>0</v>
      </c>
      <c r="J41" s="106">
        <f t="shared" si="10"/>
        <v>0</v>
      </c>
      <c r="K41" s="106">
        <f t="shared" si="10"/>
        <v>47.803</v>
      </c>
      <c r="L41" s="106">
        <f t="shared" si="10"/>
        <v>0</v>
      </c>
      <c r="M41" s="106">
        <f t="shared" si="10"/>
        <v>0</v>
      </c>
      <c r="N41" s="106">
        <f t="shared" si="10"/>
        <v>0</v>
      </c>
      <c r="O41" s="106">
        <f t="shared" si="10"/>
        <v>0</v>
      </c>
      <c r="P41" s="106">
        <f t="shared" si="10"/>
        <v>1.455</v>
      </c>
      <c r="Q41" s="106">
        <f t="shared" si="10"/>
        <v>0</v>
      </c>
      <c r="R41" s="106">
        <f t="shared" si="10"/>
        <v>0</v>
      </c>
      <c r="S41" s="106">
        <f t="shared" si="10"/>
        <v>0</v>
      </c>
      <c r="T41" s="106">
        <f>SUM(T42:T44)</f>
        <v>0</v>
      </c>
      <c r="U41" s="106">
        <f>SUM(U42:U44)</f>
        <v>250.46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299.71799999999996</v>
      </c>
      <c r="AB41" s="104">
        <f t="shared" si="4"/>
        <v>-128.23700000000002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">
      <c r="B42" s="107" t="s">
        <v>20</v>
      </c>
      <c r="C42" s="108">
        <v>406.21</v>
      </c>
      <c r="D42" s="81"/>
      <c r="E42" s="81"/>
      <c r="F42" s="81"/>
      <c r="G42" s="81"/>
      <c r="H42" s="81"/>
      <c r="I42" s="81"/>
      <c r="J42" s="86"/>
      <c r="K42" s="81">
        <v>45.94</v>
      </c>
      <c r="L42" s="81"/>
      <c r="M42" s="81"/>
      <c r="N42" s="81"/>
      <c r="O42" s="81"/>
      <c r="P42" s="110"/>
      <c r="Q42" s="81"/>
      <c r="R42" s="110"/>
      <c r="S42" s="81"/>
      <c r="T42" s="81"/>
      <c r="U42" s="81">
        <f>212.24+38.22</f>
        <v>250.46</v>
      </c>
      <c r="V42" s="86"/>
      <c r="W42" s="86"/>
      <c r="X42" s="81"/>
      <c r="Y42" s="81"/>
      <c r="Z42" s="81"/>
      <c r="AA42" s="81">
        <f>SUM(D42:Z42)</f>
        <v>296.4</v>
      </c>
      <c r="AB42" s="104">
        <f t="shared" si="4"/>
        <v>-109.81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">
      <c r="B43" s="107" t="s">
        <v>22</v>
      </c>
      <c r="C43" s="108">
        <v>12.597</v>
      </c>
      <c r="D43" s="81"/>
      <c r="E43" s="81"/>
      <c r="F43" s="81"/>
      <c r="G43" s="81"/>
      <c r="H43" s="81"/>
      <c r="I43" s="81"/>
      <c r="J43" s="86"/>
      <c r="K43" s="81"/>
      <c r="L43" s="81"/>
      <c r="M43" s="81"/>
      <c r="N43" s="81"/>
      <c r="O43" s="81"/>
      <c r="P43" s="81">
        <v>1.455</v>
      </c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1.455</v>
      </c>
      <c r="AB43" s="104">
        <f t="shared" si="4"/>
        <v>-11.142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">
      <c r="B44" s="107" t="s">
        <v>24</v>
      </c>
      <c r="C44" s="108">
        <v>9.148</v>
      </c>
      <c r="D44" s="81"/>
      <c r="E44" s="81"/>
      <c r="F44" s="81"/>
      <c r="G44" s="81"/>
      <c r="H44" s="81"/>
      <c r="I44" s="81"/>
      <c r="J44" s="81"/>
      <c r="K44" s="81">
        <v>1.863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>
        <f>SUM(D44:Z44)</f>
        <v>1.863</v>
      </c>
      <c r="AB44" s="104">
        <f t="shared" si="4"/>
        <v>-7.285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">
      <c r="B45" s="105" t="s">
        <v>44</v>
      </c>
      <c r="C45" s="106">
        <f aca="true" t="shared" si="12" ref="C45:Y45">SUM(C46:C48)</f>
        <v>268.23699999999997</v>
      </c>
      <c r="D45" s="106">
        <f t="shared" si="12"/>
        <v>0</v>
      </c>
      <c r="E45" s="106">
        <f t="shared" si="12"/>
        <v>0</v>
      </c>
      <c r="F45" s="106">
        <f t="shared" si="12"/>
        <v>0</v>
      </c>
      <c r="G45" s="106">
        <f t="shared" si="12"/>
        <v>0</v>
      </c>
      <c r="H45" s="106">
        <f t="shared" si="12"/>
        <v>0</v>
      </c>
      <c r="I45" s="106">
        <f t="shared" si="12"/>
        <v>0</v>
      </c>
      <c r="J45" s="106">
        <f t="shared" si="12"/>
        <v>35.6</v>
      </c>
      <c r="K45" s="106">
        <f t="shared" si="12"/>
        <v>0</v>
      </c>
      <c r="L45" s="106">
        <f t="shared" si="12"/>
        <v>0</v>
      </c>
      <c r="M45" s="106">
        <f t="shared" si="12"/>
        <v>0</v>
      </c>
      <c r="N45" s="106">
        <f t="shared" si="12"/>
        <v>0</v>
      </c>
      <c r="O45" s="106">
        <f t="shared" si="12"/>
        <v>0</v>
      </c>
      <c r="P45" s="106">
        <f t="shared" si="12"/>
        <v>0</v>
      </c>
      <c r="Q45" s="106">
        <f t="shared" si="12"/>
        <v>0</v>
      </c>
      <c r="R45" s="106">
        <f t="shared" si="12"/>
        <v>0</v>
      </c>
      <c r="S45" s="106">
        <f t="shared" si="12"/>
        <v>43.944</v>
      </c>
      <c r="T45" s="106">
        <f>SUM(T46:T48)</f>
        <v>0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79.54400000000001</v>
      </c>
      <c r="AB45" s="104">
        <f t="shared" si="4"/>
        <v>-188.69299999999996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">
      <c r="B46" s="107" t="s">
        <v>20</v>
      </c>
      <c r="C46" s="108">
        <v>260.383</v>
      </c>
      <c r="D46" s="81"/>
      <c r="E46" s="81"/>
      <c r="F46" s="81"/>
      <c r="G46" s="81"/>
      <c r="H46" s="81"/>
      <c r="I46" s="81"/>
      <c r="J46" s="86">
        <v>35.6</v>
      </c>
      <c r="K46" s="81"/>
      <c r="L46" s="81"/>
      <c r="M46" s="81"/>
      <c r="N46" s="81"/>
      <c r="O46" s="81"/>
      <c r="P46" s="81"/>
      <c r="Q46" s="81"/>
      <c r="R46" s="110"/>
      <c r="S46" s="81">
        <v>43.944</v>
      </c>
      <c r="T46" s="81"/>
      <c r="U46" s="81"/>
      <c r="V46" s="86"/>
      <c r="W46" s="86"/>
      <c r="X46" s="86"/>
      <c r="Y46" s="86"/>
      <c r="Z46" s="86"/>
      <c r="AA46" s="81">
        <f>SUM(D46:Z46)</f>
        <v>79.54400000000001</v>
      </c>
      <c r="AB46" s="104">
        <f t="shared" si="4"/>
        <v>-180.83899999999997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">
      <c r="B47" s="107" t="s">
        <v>22</v>
      </c>
      <c r="C47" s="108">
        <v>4.001</v>
      </c>
      <c r="D47" s="81"/>
      <c r="E47" s="81"/>
      <c r="F47" s="81"/>
      <c r="G47" s="81"/>
      <c r="H47" s="81"/>
      <c r="I47" s="81"/>
      <c r="J47" s="86"/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0</v>
      </c>
      <c r="AB47" s="104">
        <f t="shared" si="4"/>
        <v>-4.001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">
      <c r="B48" s="107" t="s">
        <v>24</v>
      </c>
      <c r="C48" s="108">
        <v>3.853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0</v>
      </c>
      <c r="AB48" s="104">
        <f t="shared" si="4"/>
        <v>-3.853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">
      <c r="A49" s="66">
        <v>90501</v>
      </c>
      <c r="B49" s="105" t="s">
        <v>45</v>
      </c>
      <c r="C49" s="106">
        <f>C50+C51</f>
        <v>54.804</v>
      </c>
      <c r="D49" s="106">
        <f aca="true" t="shared" si="13" ref="D49:Y49">D50+D51</f>
        <v>0</v>
      </c>
      <c r="E49" s="106">
        <f t="shared" si="13"/>
        <v>0</v>
      </c>
      <c r="F49" s="106">
        <f t="shared" si="13"/>
        <v>0</v>
      </c>
      <c r="G49" s="106">
        <f t="shared" si="13"/>
        <v>0</v>
      </c>
      <c r="H49" s="106">
        <f t="shared" si="13"/>
        <v>0</v>
      </c>
      <c r="I49" s="106">
        <f t="shared" si="13"/>
        <v>0</v>
      </c>
      <c r="J49" s="106">
        <f t="shared" si="13"/>
        <v>0</v>
      </c>
      <c r="K49" s="106">
        <f t="shared" si="13"/>
        <v>0</v>
      </c>
      <c r="L49" s="106">
        <f t="shared" si="13"/>
        <v>0</v>
      </c>
      <c r="M49" s="106">
        <f t="shared" si="13"/>
        <v>1.4</v>
      </c>
      <c r="N49" s="106">
        <f t="shared" si="13"/>
        <v>0</v>
      </c>
      <c r="O49" s="106">
        <f t="shared" si="13"/>
        <v>0.591</v>
      </c>
      <c r="P49" s="106">
        <f t="shared" si="13"/>
        <v>0</v>
      </c>
      <c r="Q49" s="106">
        <f t="shared" si="13"/>
        <v>0</v>
      </c>
      <c r="R49" s="106">
        <f t="shared" si="13"/>
        <v>0</v>
      </c>
      <c r="S49" s="106">
        <f t="shared" si="13"/>
        <v>0</v>
      </c>
      <c r="T49" s="106">
        <f>T50+T51</f>
        <v>0</v>
      </c>
      <c r="U49" s="106">
        <f>U50+U51</f>
        <v>0</v>
      </c>
      <c r="V49" s="106">
        <f t="shared" si="13"/>
        <v>3.794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5.785</v>
      </c>
      <c r="AB49" s="104">
        <f t="shared" si="4"/>
        <v>-49.019000000000005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">
      <c r="B50" s="107" t="s">
        <v>20</v>
      </c>
      <c r="C50" s="113">
        <v>34.911</v>
      </c>
      <c r="D50" s="86"/>
      <c r="E50" s="86"/>
      <c r="F50" s="86"/>
      <c r="G50" s="86"/>
      <c r="H50" s="86"/>
      <c r="I50" s="86"/>
      <c r="J50" s="86"/>
      <c r="K50" s="86"/>
      <c r="L50" s="86"/>
      <c r="M50" s="86">
        <v>1.4</v>
      </c>
      <c r="N50" s="86"/>
      <c r="O50" s="86"/>
      <c r="P50" s="86"/>
      <c r="Q50" s="86"/>
      <c r="R50" s="86"/>
      <c r="S50" s="86"/>
      <c r="T50" s="86"/>
      <c r="U50" s="86"/>
      <c r="V50" s="86">
        <v>3.794</v>
      </c>
      <c r="W50" s="86"/>
      <c r="X50" s="86"/>
      <c r="Y50" s="86"/>
      <c r="Z50" s="86"/>
      <c r="AA50" s="81">
        <f>SUM(D50:Z50)</f>
        <v>5.194</v>
      </c>
      <c r="AB50" s="104">
        <f t="shared" si="4"/>
        <v>-29.717000000000002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">
      <c r="B51" s="107" t="s">
        <v>35</v>
      </c>
      <c r="C51" s="113">
        <v>19.893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>
        <v>0.591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0.591</v>
      </c>
      <c r="AB51" s="104">
        <f t="shared" si="4"/>
        <v>-19.302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">
      <c r="A52" s="66">
        <v>110000</v>
      </c>
      <c r="B52" s="105" t="s">
        <v>46</v>
      </c>
      <c r="C52" s="106">
        <f aca="true" t="shared" si="14" ref="C52:AA52">SUM(C53:C56)</f>
        <v>915.146</v>
      </c>
      <c r="D52" s="106">
        <f t="shared" si="14"/>
        <v>0</v>
      </c>
      <c r="E52" s="106">
        <f t="shared" si="14"/>
        <v>101.63</v>
      </c>
      <c r="F52" s="106">
        <f t="shared" si="14"/>
        <v>0</v>
      </c>
      <c r="G52" s="106">
        <f t="shared" si="14"/>
        <v>0</v>
      </c>
      <c r="H52" s="106">
        <f t="shared" si="14"/>
        <v>0.84</v>
      </c>
      <c r="I52" s="106">
        <f t="shared" si="14"/>
        <v>0</v>
      </c>
      <c r="J52" s="106">
        <f t="shared" si="14"/>
        <v>169.10299999999998</v>
      </c>
      <c r="K52" s="106">
        <f t="shared" si="14"/>
        <v>0</v>
      </c>
      <c r="L52" s="106">
        <f t="shared" si="14"/>
        <v>5.814</v>
      </c>
      <c r="M52" s="106">
        <f t="shared" si="14"/>
        <v>0</v>
      </c>
      <c r="N52" s="106">
        <f t="shared" si="14"/>
        <v>0</v>
      </c>
      <c r="O52" s="106">
        <f t="shared" si="14"/>
        <v>0</v>
      </c>
      <c r="P52" s="106">
        <f t="shared" si="14"/>
        <v>3.504</v>
      </c>
      <c r="Q52" s="106">
        <f t="shared" si="14"/>
        <v>0</v>
      </c>
      <c r="R52" s="106">
        <f t="shared" si="14"/>
        <v>0</v>
      </c>
      <c r="S52" s="106">
        <f t="shared" si="14"/>
        <v>0</v>
      </c>
      <c r="T52" s="106">
        <f>SUM(T53:T56)</f>
        <v>32.344</v>
      </c>
      <c r="U52" s="106">
        <f t="shared" si="14"/>
        <v>92.17</v>
      </c>
      <c r="V52" s="106">
        <f t="shared" si="14"/>
        <v>166.383</v>
      </c>
      <c r="W52" s="106">
        <f t="shared" si="14"/>
        <v>0.394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572.182</v>
      </c>
      <c r="AB52" s="104">
        <f t="shared" si="4"/>
        <v>-342.96399999999994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">
      <c r="B53" s="107" t="s">
        <v>20</v>
      </c>
      <c r="C53" s="108">
        <v>620.315</v>
      </c>
      <c r="D53" s="81"/>
      <c r="E53" s="81"/>
      <c r="F53" s="81"/>
      <c r="G53" s="81"/>
      <c r="H53" s="81"/>
      <c r="I53" s="81"/>
      <c r="J53" s="86">
        <v>168.652</v>
      </c>
      <c r="K53" s="81"/>
      <c r="L53" s="81"/>
      <c r="M53" s="81"/>
      <c r="N53" s="81"/>
      <c r="O53" s="81"/>
      <c r="P53" s="110"/>
      <c r="Q53" s="81"/>
      <c r="R53" s="110"/>
      <c r="S53" s="81"/>
      <c r="T53" s="81">
        <v>28.29</v>
      </c>
      <c r="U53" s="81">
        <v>92.17</v>
      </c>
      <c r="V53" s="86">
        <v>166.383</v>
      </c>
      <c r="W53" s="86">
        <v>0.394</v>
      </c>
      <c r="X53" s="86"/>
      <c r="Y53" s="81"/>
      <c r="Z53" s="81"/>
      <c r="AA53" s="81">
        <f>SUM(D53:Z53)</f>
        <v>455.889</v>
      </c>
      <c r="AB53" s="104">
        <f t="shared" si="4"/>
        <v>-164.42600000000004</v>
      </c>
    </row>
    <row r="54" spans="2:28" ht="15">
      <c r="B54" s="107" t="s">
        <v>22</v>
      </c>
      <c r="C54" s="108">
        <v>67.713</v>
      </c>
      <c r="D54" s="81"/>
      <c r="E54" s="81"/>
      <c r="F54" s="81"/>
      <c r="G54" s="81"/>
      <c r="H54" s="81"/>
      <c r="I54" s="81"/>
      <c r="J54" s="86"/>
      <c r="K54" s="81"/>
      <c r="L54" s="81"/>
      <c r="M54" s="81"/>
      <c r="N54" s="81"/>
      <c r="O54" s="81"/>
      <c r="P54" s="110"/>
      <c r="Q54" s="81"/>
      <c r="R54" s="110"/>
      <c r="S54" s="81"/>
      <c r="T54" s="81">
        <v>2.418</v>
      </c>
      <c r="U54" s="81"/>
      <c r="V54" s="86"/>
      <c r="W54" s="86"/>
      <c r="X54" s="86"/>
      <c r="Y54" s="81"/>
      <c r="Z54" s="81"/>
      <c r="AA54" s="81">
        <f>SUM(D54:Z54)</f>
        <v>2.418</v>
      </c>
      <c r="AB54" s="104">
        <f t="shared" si="4"/>
        <v>-65.29499999999999</v>
      </c>
    </row>
    <row r="55" spans="2:28" ht="15">
      <c r="B55" s="107" t="s">
        <v>47</v>
      </c>
      <c r="C55" s="108">
        <v>6.62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/>
      <c r="V55" s="86"/>
      <c r="W55" s="86"/>
      <c r="X55" s="86"/>
      <c r="Y55" s="81"/>
      <c r="Z55" s="81"/>
      <c r="AA55" s="81">
        <f>SUM(D55:Z55)</f>
        <v>0</v>
      </c>
      <c r="AB55" s="104">
        <f t="shared" si="4"/>
        <v>-6.62</v>
      </c>
    </row>
    <row r="56" spans="2:29" ht="15">
      <c r="B56" s="107" t="s">
        <v>24</v>
      </c>
      <c r="C56" s="108">
        <v>220.498</v>
      </c>
      <c r="D56" s="81"/>
      <c r="E56" s="81">
        <v>101.63</v>
      </c>
      <c r="F56" s="81"/>
      <c r="G56" s="81"/>
      <c r="H56" s="81">
        <v>0.84</v>
      </c>
      <c r="I56" s="81"/>
      <c r="J56" s="81">
        <v>0.451</v>
      </c>
      <c r="K56" s="81"/>
      <c r="L56" s="81">
        <v>5.814</v>
      </c>
      <c r="M56" s="81"/>
      <c r="N56" s="81"/>
      <c r="O56" s="81"/>
      <c r="P56" s="81">
        <v>3.504</v>
      </c>
      <c r="Q56" s="81"/>
      <c r="R56" s="81"/>
      <c r="S56" s="81"/>
      <c r="T56" s="81">
        <v>1.636</v>
      </c>
      <c r="U56" s="81"/>
      <c r="V56" s="81"/>
      <c r="W56" s="81"/>
      <c r="X56" s="81"/>
      <c r="Y56" s="81"/>
      <c r="Z56" s="81"/>
      <c r="AA56" s="81">
        <f>SUM(D56:Z56)</f>
        <v>113.87499999999999</v>
      </c>
      <c r="AB56" s="104">
        <f t="shared" si="4"/>
        <v>-106.623</v>
      </c>
      <c r="AC56" s="66"/>
    </row>
    <row r="57" spans="1:40" s="66" customFormat="1" ht="15">
      <c r="A57" s="66">
        <v>130000</v>
      </c>
      <c r="B57" s="105" t="s">
        <v>48</v>
      </c>
      <c r="C57" s="106">
        <f>SUM(C58:C62)</f>
        <v>1035.90551</v>
      </c>
      <c r="D57" s="106">
        <f aca="true" t="shared" si="15" ref="D57:AA57">SUM(D58:D62)</f>
        <v>0</v>
      </c>
      <c r="E57" s="106">
        <f t="shared" si="15"/>
        <v>2.8</v>
      </c>
      <c r="F57" s="106">
        <f t="shared" si="15"/>
        <v>0</v>
      </c>
      <c r="G57" s="106">
        <f t="shared" si="15"/>
        <v>26.58</v>
      </c>
      <c r="H57" s="106">
        <f t="shared" si="15"/>
        <v>2.23</v>
      </c>
      <c r="I57" s="106">
        <f t="shared" si="15"/>
        <v>0</v>
      </c>
      <c r="J57" s="106">
        <f t="shared" si="15"/>
        <v>57.218</v>
      </c>
      <c r="K57" s="106">
        <f t="shared" si="15"/>
        <v>0</v>
      </c>
      <c r="L57" s="106">
        <f t="shared" si="15"/>
        <v>88.738</v>
      </c>
      <c r="M57" s="106">
        <f t="shared" si="15"/>
        <v>0</v>
      </c>
      <c r="N57" s="106">
        <f t="shared" si="15"/>
        <v>31.163</v>
      </c>
      <c r="O57" s="106">
        <f t="shared" si="15"/>
        <v>0</v>
      </c>
      <c r="P57" s="106">
        <f t="shared" si="15"/>
        <v>0</v>
      </c>
      <c r="Q57" s="106">
        <f t="shared" si="15"/>
        <v>7.352</v>
      </c>
      <c r="R57" s="106">
        <f t="shared" si="15"/>
        <v>0</v>
      </c>
      <c r="S57" s="106">
        <f t="shared" si="15"/>
        <v>0</v>
      </c>
      <c r="T57" s="106">
        <f>SUM(T58:T62)</f>
        <v>0</v>
      </c>
      <c r="U57" s="106">
        <f>SUM(U58:U62)</f>
        <v>115.528</v>
      </c>
      <c r="V57" s="106">
        <f t="shared" si="15"/>
        <v>0</v>
      </c>
      <c r="W57" s="106">
        <f t="shared" si="15"/>
        <v>151.822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483.43100000000004</v>
      </c>
      <c r="AB57" s="104">
        <f t="shared" si="4"/>
        <v>-552.47451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">
      <c r="B58" s="107" t="s">
        <v>20</v>
      </c>
      <c r="C58" s="108">
        <v>576.013</v>
      </c>
      <c r="D58" s="81"/>
      <c r="E58" s="81"/>
      <c r="F58" s="81"/>
      <c r="G58" s="81"/>
      <c r="H58" s="81"/>
      <c r="I58" s="81"/>
      <c r="J58" s="110"/>
      <c r="K58" s="81"/>
      <c r="L58" s="81">
        <v>73.14</v>
      </c>
      <c r="M58" s="81"/>
      <c r="N58" s="81"/>
      <c r="O58" s="81"/>
      <c r="P58" s="110"/>
      <c r="Q58" s="81"/>
      <c r="R58" s="110"/>
      <c r="S58" s="81"/>
      <c r="T58" s="81"/>
      <c r="U58" s="81"/>
      <c r="V58" s="86"/>
      <c r="W58" s="86">
        <v>147.675</v>
      </c>
      <c r="X58" s="81"/>
      <c r="Y58" s="81"/>
      <c r="Z58" s="81"/>
      <c r="AA58" s="81">
        <f>SUM(D58:Z58)</f>
        <v>220.815</v>
      </c>
      <c r="AB58" s="104">
        <f t="shared" si="4"/>
        <v>-355.19800000000004</v>
      </c>
    </row>
    <row r="59" spans="2:28" ht="15">
      <c r="B59" s="107" t="s">
        <v>29</v>
      </c>
      <c r="C59" s="108">
        <v>0.00051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/>
      <c r="V59" s="86"/>
      <c r="W59" s="86"/>
      <c r="X59" s="81"/>
      <c r="Y59" s="81"/>
      <c r="Z59" s="81"/>
      <c r="AA59" s="81">
        <f>SUM(D59:Z59)</f>
        <v>0</v>
      </c>
      <c r="AB59" s="104">
        <f t="shared" si="4"/>
        <v>-0.00051</v>
      </c>
    </row>
    <row r="60" spans="2:28" ht="15">
      <c r="B60" s="107" t="s">
        <v>22</v>
      </c>
      <c r="C60" s="108">
        <v>38.834</v>
      </c>
      <c r="D60" s="81"/>
      <c r="E60" s="81"/>
      <c r="F60" s="81"/>
      <c r="G60" s="81"/>
      <c r="H60" s="81"/>
      <c r="I60" s="81"/>
      <c r="J60" s="86"/>
      <c r="K60" s="81"/>
      <c r="L60" s="81"/>
      <c r="M60" s="81"/>
      <c r="N60" s="81"/>
      <c r="O60" s="81"/>
      <c r="P60" s="110"/>
      <c r="Q60" s="81">
        <v>5.808</v>
      </c>
      <c r="R60" s="81"/>
      <c r="S60" s="81"/>
      <c r="T60" s="81"/>
      <c r="U60" s="81"/>
      <c r="V60" s="86"/>
      <c r="W60" s="86">
        <v>1.088</v>
      </c>
      <c r="X60" s="81"/>
      <c r="Y60" s="81"/>
      <c r="Z60" s="81"/>
      <c r="AA60" s="81">
        <f>SUM(D60:Z60)</f>
        <v>6.896</v>
      </c>
      <c r="AB60" s="104">
        <f t="shared" si="4"/>
        <v>-31.938000000000002</v>
      </c>
    </row>
    <row r="61" spans="2:28" ht="15">
      <c r="B61" s="107" t="s">
        <v>35</v>
      </c>
      <c r="C61" s="108">
        <v>92.978</v>
      </c>
      <c r="D61" s="81"/>
      <c r="E61" s="81"/>
      <c r="F61" s="81"/>
      <c r="G61" s="81"/>
      <c r="H61" s="81"/>
      <c r="I61" s="81"/>
      <c r="J61" s="86">
        <v>10.609</v>
      </c>
      <c r="K61" s="81"/>
      <c r="L61" s="81"/>
      <c r="M61" s="81"/>
      <c r="N61" s="81">
        <v>31.163</v>
      </c>
      <c r="O61" s="81"/>
      <c r="P61" s="81"/>
      <c r="Q61" s="81"/>
      <c r="R61" s="81"/>
      <c r="S61" s="81"/>
      <c r="T61" s="81"/>
      <c r="U61" s="81"/>
      <c r="V61" s="86"/>
      <c r="W61" s="81"/>
      <c r="X61" s="86"/>
      <c r="Y61" s="86"/>
      <c r="Z61" s="86"/>
      <c r="AA61" s="81">
        <f>SUM(D61:Z61)</f>
        <v>41.772</v>
      </c>
      <c r="AB61" s="104">
        <f t="shared" si="4"/>
        <v>-51.205999999999996</v>
      </c>
    </row>
    <row r="62" spans="2:28" ht="15">
      <c r="B62" s="107" t="s">
        <v>24</v>
      </c>
      <c r="C62" s="108">
        <v>328.08</v>
      </c>
      <c r="D62" s="81"/>
      <c r="E62" s="81">
        <v>2.8</v>
      </c>
      <c r="F62" s="81"/>
      <c r="G62" s="81">
        <v>26.58</v>
      </c>
      <c r="H62" s="81">
        <v>2.23</v>
      </c>
      <c r="I62" s="81"/>
      <c r="J62" s="81">
        <v>46.609</v>
      </c>
      <c r="K62" s="81"/>
      <c r="L62" s="81">
        <v>15.598</v>
      </c>
      <c r="M62" s="81"/>
      <c r="N62" s="81"/>
      <c r="O62" s="81"/>
      <c r="P62" s="81"/>
      <c r="Q62" s="81">
        <v>1.544</v>
      </c>
      <c r="R62" s="81"/>
      <c r="S62" s="81"/>
      <c r="T62" s="81"/>
      <c r="U62" s="81">
        <v>115.528</v>
      </c>
      <c r="V62" s="81"/>
      <c r="W62" s="81">
        <v>3.059</v>
      </c>
      <c r="X62" s="81"/>
      <c r="Y62" s="81"/>
      <c r="Z62" s="81"/>
      <c r="AA62" s="81">
        <f>SUM(D62:Z62)</f>
        <v>213.948</v>
      </c>
      <c r="AB62" s="104">
        <f t="shared" si="4"/>
        <v>-114.13199999999998</v>
      </c>
    </row>
    <row r="63" spans="2:28" ht="15">
      <c r="B63" s="105" t="s">
        <v>50</v>
      </c>
      <c r="C63" s="106">
        <f>C64+C65</f>
        <v>4132.968</v>
      </c>
      <c r="D63" s="106">
        <f aca="true" t="shared" si="16" ref="D63:AA63">D64+D65</f>
        <v>0</v>
      </c>
      <c r="E63" s="106">
        <f t="shared" si="16"/>
        <v>0</v>
      </c>
      <c r="F63" s="106">
        <f t="shared" si="16"/>
        <v>0</v>
      </c>
      <c r="G63" s="106">
        <f t="shared" si="16"/>
        <v>0</v>
      </c>
      <c r="H63" s="106">
        <f t="shared" si="16"/>
        <v>760.661</v>
      </c>
      <c r="I63" s="106">
        <f t="shared" si="16"/>
        <v>0</v>
      </c>
      <c r="J63" s="106">
        <f t="shared" si="16"/>
        <v>40.1</v>
      </c>
      <c r="K63" s="106">
        <f t="shared" si="16"/>
        <v>0</v>
      </c>
      <c r="L63" s="106">
        <f t="shared" si="16"/>
        <v>0</v>
      </c>
      <c r="M63" s="106">
        <f t="shared" si="16"/>
        <v>68.321</v>
      </c>
      <c r="N63" s="106">
        <f t="shared" si="16"/>
        <v>55.556</v>
      </c>
      <c r="O63" s="106">
        <f t="shared" si="16"/>
        <v>34.5</v>
      </c>
      <c r="P63" s="106">
        <f t="shared" si="16"/>
        <v>0</v>
      </c>
      <c r="Q63" s="106">
        <f t="shared" si="16"/>
        <v>646.362</v>
      </c>
      <c r="R63" s="106">
        <f t="shared" si="16"/>
        <v>0</v>
      </c>
      <c r="S63" s="106">
        <f t="shared" si="16"/>
        <v>0</v>
      </c>
      <c r="T63" s="106">
        <f>T64+T65</f>
        <v>0</v>
      </c>
      <c r="U63" s="106">
        <f t="shared" si="16"/>
        <v>0</v>
      </c>
      <c r="V63" s="106">
        <f t="shared" si="16"/>
        <v>0</v>
      </c>
      <c r="W63" s="106">
        <f t="shared" si="16"/>
        <v>0</v>
      </c>
      <c r="X63" s="106">
        <f t="shared" si="16"/>
        <v>20.754</v>
      </c>
      <c r="Y63" s="106">
        <f t="shared" si="16"/>
        <v>0</v>
      </c>
      <c r="Z63" s="106">
        <f>Z64+Z65</f>
        <v>0</v>
      </c>
      <c r="AA63" s="106">
        <f t="shared" si="16"/>
        <v>1626.254</v>
      </c>
      <c r="AB63" s="104">
        <f t="shared" si="4"/>
        <v>-2506.714</v>
      </c>
    </row>
    <row r="64" spans="2:28" ht="15">
      <c r="B64" s="118" t="s">
        <v>51</v>
      </c>
      <c r="C64" s="113">
        <v>624.858</v>
      </c>
      <c r="D64" s="86"/>
      <c r="E64" s="86"/>
      <c r="F64" s="86"/>
      <c r="G64" s="86"/>
      <c r="H64" s="86">
        <v>72.899</v>
      </c>
      <c r="I64" s="86"/>
      <c r="J64" s="86">
        <v>40.1</v>
      </c>
      <c r="K64" s="86"/>
      <c r="L64" s="86"/>
      <c r="M64" s="86"/>
      <c r="N64" s="86">
        <v>55.556</v>
      </c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168.555</v>
      </c>
      <c r="AB64" s="104">
        <f t="shared" si="4"/>
        <v>-456.30299999999994</v>
      </c>
    </row>
    <row r="65" spans="2:28" ht="15">
      <c r="B65" s="118" t="s">
        <v>35</v>
      </c>
      <c r="C65" s="113">
        <v>3508.11</v>
      </c>
      <c r="D65" s="86"/>
      <c r="E65" s="86"/>
      <c r="F65" s="86"/>
      <c r="G65" s="86"/>
      <c r="H65" s="86">
        <v>687.762</v>
      </c>
      <c r="I65" s="86"/>
      <c r="J65" s="86"/>
      <c r="K65" s="86"/>
      <c r="L65" s="86"/>
      <c r="M65" s="86">
        <v>68.321</v>
      </c>
      <c r="N65" s="86"/>
      <c r="O65" s="86">
        <v>34.5</v>
      </c>
      <c r="P65" s="86"/>
      <c r="Q65" s="86">
        <v>646.362</v>
      </c>
      <c r="R65" s="86"/>
      <c r="S65" s="86"/>
      <c r="T65" s="86"/>
      <c r="U65" s="86"/>
      <c r="V65" s="86"/>
      <c r="W65" s="86"/>
      <c r="X65" s="86">
        <v>20.754</v>
      </c>
      <c r="Y65" s="86"/>
      <c r="Z65" s="86"/>
      <c r="AA65" s="86">
        <f>SUM(D65:Z65)</f>
        <v>1457.6989999999998</v>
      </c>
      <c r="AB65" s="104">
        <f t="shared" si="4"/>
        <v>-2050.411</v>
      </c>
    </row>
    <row r="66" spans="2:28" ht="15">
      <c r="B66" s="105" t="s">
        <v>52</v>
      </c>
      <c r="C66" s="106">
        <f>C67+C68</f>
        <v>37.72</v>
      </c>
      <c r="D66" s="106">
        <f aca="true" t="shared" si="17" ref="D66:AA66">D67+D68</f>
        <v>0</v>
      </c>
      <c r="E66" s="106">
        <f t="shared" si="17"/>
        <v>0</v>
      </c>
      <c r="F66" s="106">
        <f t="shared" si="17"/>
        <v>0</v>
      </c>
      <c r="G66" s="106">
        <f t="shared" si="17"/>
        <v>0</v>
      </c>
      <c r="H66" s="106">
        <f t="shared" si="17"/>
        <v>0</v>
      </c>
      <c r="I66" s="106">
        <f t="shared" si="17"/>
        <v>0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0</v>
      </c>
      <c r="AB66" s="104">
        <f t="shared" si="4"/>
        <v>-37.72</v>
      </c>
    </row>
    <row r="67" spans="2:28" ht="15">
      <c r="B67" s="107" t="s">
        <v>22</v>
      </c>
      <c r="C67" s="113">
        <v>13.6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0</v>
      </c>
      <c r="AB67" s="104">
        <f t="shared" si="4"/>
        <v>-13.6</v>
      </c>
    </row>
    <row r="68" spans="2:28" ht="15">
      <c r="B68" s="107" t="s">
        <v>35</v>
      </c>
      <c r="C68" s="113">
        <v>24.12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0</v>
      </c>
      <c r="AB68" s="104">
        <f t="shared" si="4"/>
        <v>-24.12</v>
      </c>
    </row>
    <row r="69" spans="2:28" ht="45" customHeight="1">
      <c r="B69" s="119" t="s">
        <v>53</v>
      </c>
      <c r="C69" s="106">
        <f>400-200</f>
        <v>200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>SUM(D69:Z69)</f>
        <v>0</v>
      </c>
      <c r="AB69" s="104">
        <f t="shared" si="4"/>
        <v>-200</v>
      </c>
    </row>
    <row r="70" spans="1:29" ht="15">
      <c r="A70" s="66">
        <v>170703</v>
      </c>
      <c r="B70" s="105" t="s">
        <v>54</v>
      </c>
      <c r="C70" s="106">
        <f>C71</f>
        <v>825.549</v>
      </c>
      <c r="D70" s="106">
        <f aca="true" t="shared" si="18" ref="D70:AA70">D71</f>
        <v>0</v>
      </c>
      <c r="E70" s="106">
        <f t="shared" si="18"/>
        <v>0</v>
      </c>
      <c r="F70" s="106">
        <f t="shared" si="18"/>
        <v>30</v>
      </c>
      <c r="G70" s="106">
        <f t="shared" si="18"/>
        <v>29.924</v>
      </c>
      <c r="H70" s="106">
        <f t="shared" si="18"/>
        <v>179.995</v>
      </c>
      <c r="I70" s="106">
        <f t="shared" si="18"/>
        <v>0</v>
      </c>
      <c r="J70" s="106">
        <f t="shared" si="18"/>
        <v>0</v>
      </c>
      <c r="K70" s="106">
        <f t="shared" si="18"/>
        <v>19.998</v>
      </c>
      <c r="L70" s="106">
        <f t="shared" si="18"/>
        <v>74.378</v>
      </c>
      <c r="M70" s="106">
        <f t="shared" si="18"/>
        <v>0</v>
      </c>
      <c r="N70" s="106">
        <f t="shared" si="18"/>
        <v>40.069</v>
      </c>
      <c r="O70" s="106">
        <f t="shared" si="18"/>
        <v>0</v>
      </c>
      <c r="P70" s="106">
        <f t="shared" si="18"/>
        <v>0</v>
      </c>
      <c r="Q70" s="106">
        <f t="shared" si="18"/>
        <v>0</v>
      </c>
      <c r="R70" s="106">
        <f t="shared" si="18"/>
        <v>0</v>
      </c>
      <c r="S70" s="106">
        <f t="shared" si="18"/>
        <v>0</v>
      </c>
      <c r="T70" s="106">
        <f t="shared" si="18"/>
        <v>0</v>
      </c>
      <c r="U70" s="106">
        <f t="shared" si="18"/>
        <v>164.85</v>
      </c>
      <c r="V70" s="106">
        <f t="shared" si="18"/>
        <v>0</v>
      </c>
      <c r="W70" s="106">
        <f t="shared" si="18"/>
        <v>0</v>
      </c>
      <c r="X70" s="106">
        <f t="shared" si="18"/>
        <v>0</v>
      </c>
      <c r="Y70" s="106">
        <f t="shared" si="18"/>
        <v>0</v>
      </c>
      <c r="Z70" s="106">
        <f t="shared" si="18"/>
        <v>0</v>
      </c>
      <c r="AA70" s="106">
        <f t="shared" si="18"/>
        <v>539.214</v>
      </c>
      <c r="AB70" s="104">
        <f t="shared" si="4"/>
        <v>-286.3349999999999</v>
      </c>
      <c r="AC70" s="94"/>
    </row>
    <row r="71" spans="2:40" s="94" customFormat="1" ht="15">
      <c r="B71" s="118" t="s">
        <v>51</v>
      </c>
      <c r="C71" s="113">
        <f>835.249-9.7</f>
        <v>825.549</v>
      </c>
      <c r="D71" s="86"/>
      <c r="E71" s="86"/>
      <c r="F71" s="86">
        <v>30</v>
      </c>
      <c r="G71" s="86">
        <v>29.924</v>
      </c>
      <c r="H71" s="86">
        <v>179.995</v>
      </c>
      <c r="I71" s="86"/>
      <c r="J71" s="86"/>
      <c r="K71" s="86">
        <v>19.998</v>
      </c>
      <c r="L71" s="86">
        <v>74.378</v>
      </c>
      <c r="M71" s="86"/>
      <c r="N71" s="86">
        <v>40.069</v>
      </c>
      <c r="O71" s="86"/>
      <c r="P71" s="86"/>
      <c r="Q71" s="86"/>
      <c r="R71" s="86"/>
      <c r="S71" s="86"/>
      <c r="T71" s="86"/>
      <c r="U71" s="86">
        <v>164.85</v>
      </c>
      <c r="V71" s="86"/>
      <c r="W71" s="86"/>
      <c r="X71" s="86"/>
      <c r="Y71" s="86"/>
      <c r="Z71" s="86"/>
      <c r="AA71" s="86">
        <f aca="true" t="shared" si="19" ref="AA71:AA80">SUM(D71:Z71)</f>
        <v>539.214</v>
      </c>
      <c r="AB71" s="104">
        <f t="shared" si="4"/>
        <v>-286.3349999999999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7">
      <c r="B72" s="119" t="s">
        <v>55</v>
      </c>
      <c r="C72" s="106">
        <v>10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0</v>
      </c>
      <c r="AB72" s="104">
        <f t="shared" si="4"/>
        <v>-10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15">
      <c r="B73" s="119" t="s">
        <v>56</v>
      </c>
      <c r="C73" s="106">
        <v>279.678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0</v>
      </c>
      <c r="AB73" s="104">
        <f t="shared" si="4"/>
        <v>-279.678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">
      <c r="B74" s="119" t="s">
        <v>57</v>
      </c>
      <c r="C74" s="106">
        <v>8.182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</v>
      </c>
      <c r="AB74" s="104">
        <f t="shared" si="4"/>
        <v>-8.182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15">
      <c r="B75" s="119" t="s">
        <v>58</v>
      </c>
      <c r="C75" s="106">
        <v>281.155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</v>
      </c>
      <c r="AB75" s="104">
        <f t="shared" si="4"/>
        <v>-281.155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1:40" s="66" customFormat="1" ht="15">
      <c r="A76" s="66">
        <v>250102</v>
      </c>
      <c r="B76" s="105" t="s">
        <v>59</v>
      </c>
      <c r="C76" s="106">
        <v>117.25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0</v>
      </c>
      <c r="AB76" s="104">
        <f t="shared" si="4"/>
        <v>-117.25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55.5">
      <c r="B77" s="105" t="s">
        <v>60</v>
      </c>
      <c r="C77" s="106">
        <v>47.942</v>
      </c>
      <c r="D77" s="106"/>
      <c r="E77" s="106"/>
      <c r="F77" s="106"/>
      <c r="G77" s="106"/>
      <c r="H77" s="106"/>
      <c r="I77" s="106"/>
      <c r="J77" s="106"/>
      <c r="K77" s="106">
        <v>47.942</v>
      </c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19"/>
        <v>47.942</v>
      </c>
      <c r="AB77" s="104">
        <f t="shared" si="4"/>
        <v>0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71.25" customHeight="1">
      <c r="B78" s="105" t="s">
        <v>61</v>
      </c>
      <c r="C78" s="106">
        <v>250</v>
      </c>
      <c r="D78" s="106"/>
      <c r="E78" s="106"/>
      <c r="F78" s="106"/>
      <c r="G78" s="106"/>
      <c r="H78" s="106"/>
      <c r="I78" s="106"/>
      <c r="J78" s="106">
        <v>250</v>
      </c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19"/>
        <v>250</v>
      </c>
      <c r="AB78" s="104">
        <f t="shared" si="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55.5" hidden="1">
      <c r="B79" s="105" t="s">
        <v>62</v>
      </c>
      <c r="C79" s="106">
        <v>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19"/>
        <v>0</v>
      </c>
      <c r="AB79" s="104">
        <f t="shared" si="4"/>
        <v>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42">
      <c r="B80" s="105" t="s">
        <v>63</v>
      </c>
      <c r="C80" s="106">
        <v>0</v>
      </c>
      <c r="D80" s="106">
        <v>32.682</v>
      </c>
      <c r="E80" s="106">
        <v>195.623</v>
      </c>
      <c r="F80" s="106"/>
      <c r="G80" s="106">
        <v>1.62</v>
      </c>
      <c r="H80" s="106">
        <v>336.254</v>
      </c>
      <c r="I80" s="106">
        <v>267.329</v>
      </c>
      <c r="J80" s="106">
        <v>97.5</v>
      </c>
      <c r="K80" s="106"/>
      <c r="L80" s="106">
        <v>12.2</v>
      </c>
      <c r="M80" s="106">
        <v>283.01</v>
      </c>
      <c r="N80" s="106"/>
      <c r="O80" s="106">
        <v>39.048</v>
      </c>
      <c r="P80" s="106">
        <v>2939.207</v>
      </c>
      <c r="Q80" s="106">
        <v>290.352</v>
      </c>
      <c r="R80" s="106"/>
      <c r="S80" s="106"/>
      <c r="T80" s="106">
        <v>308.039</v>
      </c>
      <c r="U80" s="106">
        <v>383.292</v>
      </c>
      <c r="V80" s="106">
        <v>149.682</v>
      </c>
      <c r="W80" s="106"/>
      <c r="X80" s="106"/>
      <c r="Y80" s="106">
        <v>-3</v>
      </c>
      <c r="Z80" s="106">
        <v>-7.2</v>
      </c>
      <c r="AA80" s="106">
        <f t="shared" si="19"/>
        <v>5325.638</v>
      </c>
      <c r="AB80" s="104">
        <f t="shared" si="4"/>
        <v>5325.638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15">
      <c r="B81" s="120" t="s">
        <v>64</v>
      </c>
      <c r="C81" s="121">
        <f>SUM(C82:C88)</f>
        <v>29659.036509999998</v>
      </c>
      <c r="D81" s="121">
        <f aca="true" t="shared" si="20" ref="D81:AA81">SUM(D82:D88)</f>
        <v>32.964</v>
      </c>
      <c r="E81" s="121">
        <f t="shared" si="20"/>
        <v>665.36</v>
      </c>
      <c r="F81" s="121">
        <f t="shared" si="20"/>
        <v>109.257</v>
      </c>
      <c r="G81" s="121">
        <f t="shared" si="20"/>
        <v>286.78200000000004</v>
      </c>
      <c r="H81" s="121">
        <f t="shared" si="20"/>
        <v>1418.059</v>
      </c>
      <c r="I81" s="121">
        <f t="shared" si="20"/>
        <v>348.238</v>
      </c>
      <c r="J81" s="121">
        <f t="shared" si="20"/>
        <v>1165.171</v>
      </c>
      <c r="K81" s="121">
        <f t="shared" si="20"/>
        <v>796.031</v>
      </c>
      <c r="L81" s="121">
        <f t="shared" si="20"/>
        <v>2159.513</v>
      </c>
      <c r="M81" s="121">
        <f t="shared" si="20"/>
        <v>382.111</v>
      </c>
      <c r="N81" s="121">
        <f t="shared" si="20"/>
        <v>345.31600000000003</v>
      </c>
      <c r="O81" s="121">
        <f t="shared" si="20"/>
        <v>330.658</v>
      </c>
      <c r="P81" s="121">
        <f t="shared" si="20"/>
        <v>3088.642</v>
      </c>
      <c r="Q81" s="121">
        <f t="shared" si="20"/>
        <v>963.4559999999999</v>
      </c>
      <c r="R81" s="121">
        <f t="shared" si="20"/>
        <v>132.894</v>
      </c>
      <c r="S81" s="121">
        <f t="shared" si="20"/>
        <v>813.1709999999998</v>
      </c>
      <c r="T81" s="121">
        <f>SUM(T82:T88)</f>
        <v>542.3109999999999</v>
      </c>
      <c r="U81" s="121">
        <f t="shared" si="20"/>
        <v>2137.594</v>
      </c>
      <c r="V81" s="121">
        <f t="shared" si="20"/>
        <v>978.289</v>
      </c>
      <c r="W81" s="121">
        <f t="shared" si="20"/>
        <v>1528.8329999999999</v>
      </c>
      <c r="X81" s="121">
        <f t="shared" si="20"/>
        <v>54.813</v>
      </c>
      <c r="Y81" s="121">
        <f t="shared" si="20"/>
        <v>-3.114</v>
      </c>
      <c r="Z81" s="121">
        <f t="shared" si="20"/>
        <v>-9.2</v>
      </c>
      <c r="AA81" s="121">
        <f t="shared" si="20"/>
        <v>18267.148999999998</v>
      </c>
      <c r="AB81" s="104">
        <f t="shared" si="4"/>
        <v>-11391.88751</v>
      </c>
      <c r="AC81" s="69"/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1:40" s="72" customFormat="1" ht="15">
      <c r="A82" s="69"/>
      <c r="B82" s="107" t="s">
        <v>20</v>
      </c>
      <c r="C82" s="108">
        <f aca="true" t="shared" si="21" ref="C82:AA82">C20+C36+C42+C46+C50+C53+C58+C24</f>
        <v>15649.385999999999</v>
      </c>
      <c r="D82" s="108">
        <f t="shared" si="21"/>
        <v>0</v>
      </c>
      <c r="E82" s="108">
        <f t="shared" si="21"/>
        <v>338.704</v>
      </c>
      <c r="F82" s="108">
        <f t="shared" si="21"/>
        <v>18.551000000000002</v>
      </c>
      <c r="G82" s="108">
        <f t="shared" si="21"/>
        <v>140.987</v>
      </c>
      <c r="H82" s="108">
        <f t="shared" si="21"/>
        <v>16.785</v>
      </c>
      <c r="I82" s="108">
        <f t="shared" si="21"/>
        <v>26.115</v>
      </c>
      <c r="J82" s="108">
        <f t="shared" si="21"/>
        <v>680.458</v>
      </c>
      <c r="K82" s="108">
        <f t="shared" si="21"/>
        <v>618.0139999999999</v>
      </c>
      <c r="L82" s="108">
        <f t="shared" si="21"/>
        <v>2006.3310000000001</v>
      </c>
      <c r="M82" s="108">
        <f t="shared" si="21"/>
        <v>1.4</v>
      </c>
      <c r="N82" s="108">
        <f t="shared" si="21"/>
        <v>112.83</v>
      </c>
      <c r="O82" s="108">
        <f t="shared" si="21"/>
        <v>91.97999999999999</v>
      </c>
      <c r="P82" s="108">
        <f t="shared" si="21"/>
        <v>0</v>
      </c>
      <c r="Q82" s="108">
        <f t="shared" si="21"/>
        <v>0</v>
      </c>
      <c r="R82" s="108">
        <f t="shared" si="21"/>
        <v>71.799</v>
      </c>
      <c r="S82" s="108">
        <f t="shared" si="21"/>
        <v>725.805</v>
      </c>
      <c r="T82" s="108">
        <f t="shared" si="21"/>
        <v>225.40699999999998</v>
      </c>
      <c r="U82" s="108">
        <f t="shared" si="21"/>
        <v>1329.704</v>
      </c>
      <c r="V82" s="108">
        <f t="shared" si="21"/>
        <v>749.506</v>
      </c>
      <c r="W82" s="108">
        <f t="shared" si="21"/>
        <v>1524.626</v>
      </c>
      <c r="X82" s="108">
        <f t="shared" si="21"/>
        <v>0</v>
      </c>
      <c r="Y82" s="108">
        <f t="shared" si="21"/>
        <v>0</v>
      </c>
      <c r="Z82" s="108">
        <f t="shared" si="21"/>
        <v>0</v>
      </c>
      <c r="AA82" s="108">
        <f t="shared" si="21"/>
        <v>8679.001999999999</v>
      </c>
      <c r="AB82" s="104">
        <f aca="true" t="shared" si="22" ref="AB82:AB88">AA82-C82</f>
        <v>-6970.384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">
      <c r="A83" s="69"/>
      <c r="B83" s="107" t="s">
        <v>29</v>
      </c>
      <c r="C83" s="108">
        <f aca="true" t="shared" si="23" ref="C83:AA83">C25+C37+C59</f>
        <v>14.63451</v>
      </c>
      <c r="D83" s="108">
        <f t="shared" si="23"/>
        <v>0</v>
      </c>
      <c r="E83" s="108">
        <f t="shared" si="23"/>
        <v>0</v>
      </c>
      <c r="F83" s="108">
        <f t="shared" si="23"/>
        <v>0</v>
      </c>
      <c r="G83" s="108">
        <f t="shared" si="23"/>
        <v>0</v>
      </c>
      <c r="H83" s="108">
        <f t="shared" si="23"/>
        <v>0</v>
      </c>
      <c r="I83" s="108">
        <f t="shared" si="23"/>
        <v>0</v>
      </c>
      <c r="J83" s="108">
        <f t="shared" si="23"/>
        <v>0</v>
      </c>
      <c r="K83" s="108">
        <f t="shared" si="23"/>
        <v>1.792</v>
      </c>
      <c r="L83" s="108">
        <f t="shared" si="23"/>
        <v>0</v>
      </c>
      <c r="M83" s="108">
        <f t="shared" si="23"/>
        <v>2</v>
      </c>
      <c r="N83" s="108">
        <f t="shared" si="23"/>
        <v>0</v>
      </c>
      <c r="O83" s="108">
        <f t="shared" si="23"/>
        <v>0</v>
      </c>
      <c r="P83" s="108">
        <f t="shared" si="23"/>
        <v>0</v>
      </c>
      <c r="Q83" s="108">
        <f t="shared" si="23"/>
        <v>0</v>
      </c>
      <c r="R83" s="108">
        <f t="shared" si="23"/>
        <v>0</v>
      </c>
      <c r="S83" s="108">
        <f t="shared" si="23"/>
        <v>0</v>
      </c>
      <c r="T83" s="108">
        <f t="shared" si="23"/>
        <v>0</v>
      </c>
      <c r="U83" s="108">
        <f t="shared" si="23"/>
        <v>0</v>
      </c>
      <c r="V83" s="108">
        <f t="shared" si="23"/>
        <v>0</v>
      </c>
      <c r="W83" s="108">
        <f t="shared" si="23"/>
        <v>0</v>
      </c>
      <c r="X83" s="108">
        <f t="shared" si="23"/>
        <v>0</v>
      </c>
      <c r="Y83" s="108">
        <f t="shared" si="23"/>
        <v>0</v>
      </c>
      <c r="Z83" s="108">
        <f t="shared" si="23"/>
        <v>0</v>
      </c>
      <c r="AA83" s="108">
        <f t="shared" si="23"/>
        <v>3.792</v>
      </c>
      <c r="AB83" s="104">
        <f t="shared" si="22"/>
        <v>-10.84251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">
      <c r="A84" s="69"/>
      <c r="B84" s="107" t="s">
        <v>31</v>
      </c>
      <c r="C84" s="108">
        <f aca="true" t="shared" si="24" ref="C84:AA84">C26+C38</f>
        <v>628.866</v>
      </c>
      <c r="D84" s="108">
        <f t="shared" si="24"/>
        <v>0</v>
      </c>
      <c r="E84" s="108">
        <f t="shared" si="24"/>
        <v>0</v>
      </c>
      <c r="F84" s="108">
        <f t="shared" si="24"/>
        <v>1.18</v>
      </c>
      <c r="G84" s="108">
        <f t="shared" si="24"/>
        <v>0</v>
      </c>
      <c r="H84" s="108">
        <f t="shared" si="24"/>
        <v>0</v>
      </c>
      <c r="I84" s="108">
        <f t="shared" si="24"/>
        <v>17.729</v>
      </c>
      <c r="J84" s="108">
        <f t="shared" si="24"/>
        <v>0</v>
      </c>
      <c r="K84" s="108">
        <f t="shared" si="24"/>
        <v>33.951</v>
      </c>
      <c r="L84" s="108">
        <f t="shared" si="24"/>
        <v>0</v>
      </c>
      <c r="M84" s="108">
        <f t="shared" si="24"/>
        <v>19.57</v>
      </c>
      <c r="N84" s="108">
        <f t="shared" si="24"/>
        <v>0</v>
      </c>
      <c r="O84" s="108">
        <f t="shared" si="24"/>
        <v>0</v>
      </c>
      <c r="P84" s="108">
        <f t="shared" si="24"/>
        <v>11.45</v>
      </c>
      <c r="Q84" s="108">
        <f t="shared" si="24"/>
        <v>0</v>
      </c>
      <c r="R84" s="108">
        <f t="shared" si="24"/>
        <v>0</v>
      </c>
      <c r="S84" s="108">
        <f t="shared" si="24"/>
        <v>2.819</v>
      </c>
      <c r="T84" s="108">
        <f t="shared" si="24"/>
        <v>0</v>
      </c>
      <c r="U84" s="108">
        <f t="shared" si="24"/>
        <v>80.047</v>
      </c>
      <c r="V84" s="108">
        <f t="shared" si="24"/>
        <v>3.3</v>
      </c>
      <c r="W84" s="108">
        <f t="shared" si="24"/>
        <v>0</v>
      </c>
      <c r="X84" s="108">
        <f t="shared" si="24"/>
        <v>0</v>
      </c>
      <c r="Y84" s="108">
        <f t="shared" si="24"/>
        <v>0</v>
      </c>
      <c r="Z84" s="108">
        <f t="shared" si="24"/>
        <v>0</v>
      </c>
      <c r="AA84" s="108">
        <f t="shared" si="24"/>
        <v>170.04600000000002</v>
      </c>
      <c r="AB84" s="104">
        <f t="shared" si="22"/>
        <v>-458.81999999999994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">
      <c r="A85" s="69"/>
      <c r="B85" s="107" t="s">
        <v>22</v>
      </c>
      <c r="C85" s="108">
        <f aca="true" t="shared" si="25" ref="C85:AA85">C21+C27+C39+C43+C47+C54+C60+C67</f>
        <v>1067.1239999999998</v>
      </c>
      <c r="D85" s="108">
        <f t="shared" si="25"/>
        <v>0</v>
      </c>
      <c r="E85" s="108">
        <f t="shared" si="25"/>
        <v>0</v>
      </c>
      <c r="F85" s="108">
        <f t="shared" si="25"/>
        <v>1.645</v>
      </c>
      <c r="G85" s="108">
        <f t="shared" si="25"/>
        <v>0</v>
      </c>
      <c r="H85" s="108">
        <f t="shared" si="25"/>
        <v>0</v>
      </c>
      <c r="I85" s="108">
        <f t="shared" si="25"/>
        <v>0</v>
      </c>
      <c r="J85" s="108">
        <f t="shared" si="25"/>
        <v>0</v>
      </c>
      <c r="K85" s="108">
        <f t="shared" si="25"/>
        <v>15.239</v>
      </c>
      <c r="L85" s="108">
        <f t="shared" si="25"/>
        <v>5.886</v>
      </c>
      <c r="M85" s="108">
        <f t="shared" si="25"/>
        <v>0</v>
      </c>
      <c r="N85" s="108">
        <f t="shared" si="25"/>
        <v>4.982</v>
      </c>
      <c r="O85" s="108">
        <f t="shared" si="25"/>
        <v>0.006</v>
      </c>
      <c r="P85" s="108">
        <f t="shared" si="25"/>
        <v>32.033</v>
      </c>
      <c r="Q85" s="108">
        <f t="shared" si="25"/>
        <v>1.4009999999999998</v>
      </c>
      <c r="R85" s="108">
        <f t="shared" si="25"/>
        <v>14.416</v>
      </c>
      <c r="S85" s="108">
        <f t="shared" si="25"/>
        <v>19.146</v>
      </c>
      <c r="T85" s="108">
        <f t="shared" si="25"/>
        <v>4.923</v>
      </c>
      <c r="U85" s="108">
        <f t="shared" si="25"/>
        <v>20.984</v>
      </c>
      <c r="V85" s="108">
        <f t="shared" si="25"/>
        <v>0</v>
      </c>
      <c r="W85" s="108">
        <f t="shared" si="25"/>
        <v>1.088</v>
      </c>
      <c r="X85" s="108">
        <f t="shared" si="25"/>
        <v>0</v>
      </c>
      <c r="Y85" s="108">
        <f t="shared" si="25"/>
        <v>1.079</v>
      </c>
      <c r="Z85" s="108">
        <f t="shared" si="25"/>
        <v>0</v>
      </c>
      <c r="AA85" s="108">
        <f t="shared" si="25"/>
        <v>122.82799999999999</v>
      </c>
      <c r="AB85" s="104">
        <f t="shared" si="22"/>
        <v>-944.2959999999998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">
      <c r="A86" s="69"/>
      <c r="B86" s="107" t="s">
        <v>47</v>
      </c>
      <c r="C86" s="108">
        <f aca="true" t="shared" si="26" ref="C86:AA86">C55+C73</f>
        <v>286.298</v>
      </c>
      <c r="D86" s="108">
        <f t="shared" si="26"/>
        <v>0</v>
      </c>
      <c r="E86" s="108">
        <f t="shared" si="26"/>
        <v>0</v>
      </c>
      <c r="F86" s="108">
        <f t="shared" si="26"/>
        <v>0</v>
      </c>
      <c r="G86" s="108">
        <f t="shared" si="26"/>
        <v>0</v>
      </c>
      <c r="H86" s="108">
        <f t="shared" si="26"/>
        <v>0</v>
      </c>
      <c r="I86" s="108">
        <f t="shared" si="26"/>
        <v>0</v>
      </c>
      <c r="J86" s="108">
        <f t="shared" si="26"/>
        <v>0</v>
      </c>
      <c r="K86" s="108">
        <f t="shared" si="26"/>
        <v>0</v>
      </c>
      <c r="L86" s="108">
        <f t="shared" si="26"/>
        <v>0</v>
      </c>
      <c r="M86" s="108">
        <f t="shared" si="26"/>
        <v>0</v>
      </c>
      <c r="N86" s="108">
        <f t="shared" si="26"/>
        <v>0</v>
      </c>
      <c r="O86" s="108">
        <f t="shared" si="26"/>
        <v>0</v>
      </c>
      <c r="P86" s="108">
        <f t="shared" si="26"/>
        <v>0</v>
      </c>
      <c r="Q86" s="108">
        <f t="shared" si="26"/>
        <v>0</v>
      </c>
      <c r="R86" s="108">
        <f t="shared" si="26"/>
        <v>0</v>
      </c>
      <c r="S86" s="108">
        <f t="shared" si="26"/>
        <v>0</v>
      </c>
      <c r="T86" s="108">
        <f t="shared" si="26"/>
        <v>0</v>
      </c>
      <c r="U86" s="108">
        <f t="shared" si="26"/>
        <v>0</v>
      </c>
      <c r="V86" s="108">
        <f t="shared" si="26"/>
        <v>0</v>
      </c>
      <c r="W86" s="108">
        <f t="shared" si="26"/>
        <v>0</v>
      </c>
      <c r="X86" s="108">
        <f t="shared" si="26"/>
        <v>0</v>
      </c>
      <c r="Y86" s="108">
        <f t="shared" si="26"/>
        <v>0</v>
      </c>
      <c r="Z86" s="108">
        <f t="shared" si="26"/>
        <v>0</v>
      </c>
      <c r="AA86" s="108">
        <f t="shared" si="26"/>
        <v>0</v>
      </c>
      <c r="AB86" s="104">
        <f t="shared" si="22"/>
        <v>-286.298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">
      <c r="A87" s="69"/>
      <c r="B87" s="107" t="s">
        <v>35</v>
      </c>
      <c r="C87" s="108">
        <f>C30+C51+C61+C65+C31+C68+C77+C78+C79</f>
        <v>4586.518</v>
      </c>
      <c r="D87" s="108">
        <f aca="true" t="shared" si="27" ref="D87:AA87">D30+D51+D61+D65+D31+D68+D77+D78+D79</f>
        <v>0</v>
      </c>
      <c r="E87" s="108">
        <f t="shared" si="27"/>
        <v>0</v>
      </c>
      <c r="F87" s="108">
        <f t="shared" si="27"/>
        <v>0</v>
      </c>
      <c r="G87" s="108">
        <f t="shared" si="27"/>
        <v>0</v>
      </c>
      <c r="H87" s="108">
        <f t="shared" si="27"/>
        <v>687.762</v>
      </c>
      <c r="I87" s="108">
        <f t="shared" si="27"/>
        <v>0</v>
      </c>
      <c r="J87" s="108">
        <f t="shared" si="27"/>
        <v>260.609</v>
      </c>
      <c r="K87" s="108">
        <f t="shared" si="27"/>
        <v>69.563</v>
      </c>
      <c r="L87" s="108">
        <f t="shared" si="27"/>
        <v>0</v>
      </c>
      <c r="M87" s="108">
        <f t="shared" si="27"/>
        <v>68.321</v>
      </c>
      <c r="N87" s="108">
        <f t="shared" si="27"/>
        <v>31.163</v>
      </c>
      <c r="O87" s="108">
        <f t="shared" si="27"/>
        <v>71.14099999999999</v>
      </c>
      <c r="P87" s="108">
        <f t="shared" si="27"/>
        <v>0</v>
      </c>
      <c r="Q87" s="108">
        <f t="shared" si="27"/>
        <v>654.0319999999999</v>
      </c>
      <c r="R87" s="108">
        <f t="shared" si="27"/>
        <v>13.281</v>
      </c>
      <c r="S87" s="108">
        <f t="shared" si="27"/>
        <v>0</v>
      </c>
      <c r="T87" s="108">
        <f t="shared" si="27"/>
        <v>0</v>
      </c>
      <c r="U87" s="108">
        <f t="shared" si="27"/>
        <v>15.614</v>
      </c>
      <c r="V87" s="108">
        <f t="shared" si="27"/>
        <v>0</v>
      </c>
      <c r="W87" s="108">
        <f t="shared" si="27"/>
        <v>0</v>
      </c>
      <c r="X87" s="108">
        <f t="shared" si="27"/>
        <v>20.754</v>
      </c>
      <c r="Y87" s="108">
        <f t="shared" si="27"/>
        <v>0</v>
      </c>
      <c r="Z87" s="108">
        <f t="shared" si="27"/>
        <v>0</v>
      </c>
      <c r="AA87" s="108">
        <f t="shared" si="27"/>
        <v>1892.2399999999998</v>
      </c>
      <c r="AB87" s="104">
        <f t="shared" si="22"/>
        <v>-2694.2780000000002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">
      <c r="A88" s="69"/>
      <c r="B88" s="107" t="s">
        <v>24</v>
      </c>
      <c r="C88" s="108">
        <f>C22+C28+C32+C33+C40+C44+C48+C56+C62+C71+C75+C76+C80+C64+C74+C72+C34+C69</f>
        <v>7426.21</v>
      </c>
      <c r="D88" s="108">
        <f aca="true" t="shared" si="28" ref="D88:AA88">D22+D28+D32+D33+D40+D44+D48+D56+D62+D71+D75+D76+D80+D64+D74+D72+D34+D69</f>
        <v>32.964</v>
      </c>
      <c r="E88" s="108">
        <f t="shared" si="28"/>
        <v>326.656</v>
      </c>
      <c r="F88" s="108">
        <f t="shared" si="28"/>
        <v>87.881</v>
      </c>
      <c r="G88" s="108">
        <f t="shared" si="28"/>
        <v>145.79500000000002</v>
      </c>
      <c r="H88" s="108">
        <f t="shared" si="28"/>
        <v>713.5120000000001</v>
      </c>
      <c r="I88" s="108">
        <f t="shared" si="28"/>
        <v>304.394</v>
      </c>
      <c r="J88" s="108">
        <f t="shared" si="28"/>
        <v>224.104</v>
      </c>
      <c r="K88" s="108">
        <f t="shared" si="28"/>
        <v>57.47200000000001</v>
      </c>
      <c r="L88" s="108">
        <f t="shared" si="28"/>
        <v>147.296</v>
      </c>
      <c r="M88" s="108">
        <f t="shared" si="28"/>
        <v>290.82</v>
      </c>
      <c r="N88" s="108">
        <f t="shared" si="28"/>
        <v>196.341</v>
      </c>
      <c r="O88" s="108">
        <f t="shared" si="28"/>
        <v>167.531</v>
      </c>
      <c r="P88" s="108">
        <f t="shared" si="28"/>
        <v>3045.1589999999997</v>
      </c>
      <c r="Q88" s="108">
        <f t="shared" si="28"/>
        <v>308.02299999999997</v>
      </c>
      <c r="R88" s="108">
        <f t="shared" si="28"/>
        <v>33.397999999999996</v>
      </c>
      <c r="S88" s="108">
        <f t="shared" si="28"/>
        <v>65.401</v>
      </c>
      <c r="T88" s="108">
        <f t="shared" si="28"/>
        <v>311.981</v>
      </c>
      <c r="U88" s="108">
        <f t="shared" si="28"/>
        <v>691.2449999999999</v>
      </c>
      <c r="V88" s="108">
        <f t="shared" si="28"/>
        <v>225.483</v>
      </c>
      <c r="W88" s="108">
        <f t="shared" si="28"/>
        <v>3.119</v>
      </c>
      <c r="X88" s="108">
        <f t="shared" si="28"/>
        <v>34.059</v>
      </c>
      <c r="Y88" s="108">
        <f t="shared" si="28"/>
        <v>-4.193</v>
      </c>
      <c r="Z88" s="108">
        <f t="shared" si="28"/>
        <v>-9.2</v>
      </c>
      <c r="AA88" s="108">
        <f t="shared" si="28"/>
        <v>7399.241000000001</v>
      </c>
      <c r="AB88" s="104">
        <f t="shared" si="22"/>
        <v>-26.96899999999914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">
      <c r="A89" s="69"/>
      <c r="B89" s="69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">
      <c r="A90" s="69"/>
      <c r="B90" s="69" t="s">
        <v>65</v>
      </c>
      <c r="C90" s="124">
        <f aca="true" t="shared" si="29" ref="C90:AA90">C18-C81</f>
        <v>0</v>
      </c>
      <c r="D90" s="124">
        <f t="shared" si="29"/>
        <v>0</v>
      </c>
      <c r="E90" s="124">
        <f t="shared" si="29"/>
        <v>0</v>
      </c>
      <c r="F90" s="124">
        <f t="shared" si="29"/>
        <v>0</v>
      </c>
      <c r="G90" s="124">
        <f t="shared" si="29"/>
        <v>0</v>
      </c>
      <c r="H90" s="124">
        <f t="shared" si="29"/>
        <v>0</v>
      </c>
      <c r="I90" s="124">
        <f t="shared" si="29"/>
        <v>0</v>
      </c>
      <c r="J90" s="124">
        <f t="shared" si="29"/>
        <v>0</v>
      </c>
      <c r="K90" s="124">
        <f t="shared" si="29"/>
        <v>0</v>
      </c>
      <c r="L90" s="124">
        <f t="shared" si="29"/>
        <v>0</v>
      </c>
      <c r="M90" s="124">
        <f t="shared" si="29"/>
        <v>0</v>
      </c>
      <c r="N90" s="124">
        <f t="shared" si="29"/>
        <v>0</v>
      </c>
      <c r="O90" s="124">
        <f t="shared" si="29"/>
        <v>0</v>
      </c>
      <c r="P90" s="124">
        <f t="shared" si="29"/>
        <v>0</v>
      </c>
      <c r="Q90" s="124">
        <f t="shared" si="29"/>
        <v>0</v>
      </c>
      <c r="R90" s="124">
        <f t="shared" si="29"/>
        <v>0</v>
      </c>
      <c r="S90" s="124">
        <f t="shared" si="29"/>
        <v>0</v>
      </c>
      <c r="T90" s="124">
        <f t="shared" si="29"/>
        <v>0</v>
      </c>
      <c r="U90" s="124">
        <f t="shared" si="29"/>
        <v>0</v>
      </c>
      <c r="V90" s="124">
        <f t="shared" si="29"/>
        <v>0</v>
      </c>
      <c r="W90" s="124">
        <f t="shared" si="29"/>
        <v>0</v>
      </c>
      <c r="X90" s="124">
        <f t="shared" si="29"/>
        <v>0</v>
      </c>
      <c r="Y90" s="124">
        <f t="shared" si="29"/>
        <v>0</v>
      </c>
      <c r="Z90" s="124">
        <f t="shared" si="29"/>
        <v>0</v>
      </c>
      <c r="AA90" s="124">
        <f t="shared" si="29"/>
        <v>0</v>
      </c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">
      <c r="A91" s="69"/>
      <c r="B91" s="69"/>
      <c r="C91" s="12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4" spans="1:40" s="72" customFormat="1" ht="1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71"/>
      <c r="AC94" s="127"/>
      <c r="AG94" s="73"/>
      <c r="AH94" s="73"/>
      <c r="AI94" s="73"/>
      <c r="AJ94" s="73"/>
      <c r="AK94" s="73"/>
      <c r="AL94" s="73"/>
      <c r="AM94" s="73"/>
      <c r="AN94" s="73"/>
    </row>
    <row r="173" ht="15">
      <c r="B173" s="71" t="s">
        <v>66</v>
      </c>
    </row>
  </sheetData>
  <sheetProtection/>
  <mergeCells count="1">
    <mergeCell ref="B3:AA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3:AN174"/>
  <sheetViews>
    <sheetView zoomScale="85" zoomScaleNormal="85" zoomScaleSheetLayoutView="55" workbookViewId="0" topLeftCell="B4">
      <pane xSplit="4740" ySplit="1356" topLeftCell="V6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4" width="8.7109375" style="69" customWidth="1"/>
    <col min="25" max="26" width="8.71093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7.25">
      <c r="B3" s="137" t="s">
        <v>76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">
      <c r="B4" s="69" t="s">
        <v>0</v>
      </c>
      <c r="AA4" s="70" t="s">
        <v>1</v>
      </c>
    </row>
    <row r="5" spans="2:27" ht="69">
      <c r="B5" s="74" t="s">
        <v>2</v>
      </c>
      <c r="C5" s="75" t="s">
        <v>3</v>
      </c>
      <c r="D5" s="76">
        <v>1</v>
      </c>
      <c r="E5" s="74">
        <v>2</v>
      </c>
      <c r="F5" s="74">
        <v>5</v>
      </c>
      <c r="G5" s="74">
        <v>6</v>
      </c>
      <c r="H5" s="74">
        <v>7</v>
      </c>
      <c r="I5" s="74">
        <v>8</v>
      </c>
      <c r="J5" s="77">
        <v>9</v>
      </c>
      <c r="K5" s="74">
        <v>12</v>
      </c>
      <c r="L5" s="74">
        <v>13</v>
      </c>
      <c r="M5" s="74">
        <v>14</v>
      </c>
      <c r="N5" s="74">
        <v>15</v>
      </c>
      <c r="O5" s="74">
        <v>16</v>
      </c>
      <c r="P5" s="74">
        <v>19</v>
      </c>
      <c r="Q5" s="74">
        <v>20</v>
      </c>
      <c r="R5" s="74">
        <v>21</v>
      </c>
      <c r="S5" s="74">
        <v>22</v>
      </c>
      <c r="T5" s="74">
        <v>23</v>
      </c>
      <c r="U5" s="74">
        <v>27</v>
      </c>
      <c r="V5" s="77">
        <v>28</v>
      </c>
      <c r="W5" s="74">
        <v>29</v>
      </c>
      <c r="X5" s="77">
        <v>30</v>
      </c>
      <c r="Y5" s="77"/>
      <c r="Z5" s="77"/>
      <c r="AA5" s="76" t="s">
        <v>4</v>
      </c>
    </row>
    <row r="6" spans="2:27" ht="27">
      <c r="B6" s="78" t="s">
        <v>5</v>
      </c>
      <c r="C6" s="79">
        <f>SUM(D6:Y6)</f>
        <v>1.2</v>
      </c>
      <c r="D6" s="80"/>
      <c r="E6" s="81"/>
      <c r="F6" s="82"/>
      <c r="G6" s="81"/>
      <c r="H6" s="82"/>
      <c r="I6" s="82"/>
      <c r="J6" s="83"/>
      <c r="K6" s="82"/>
      <c r="L6" s="82">
        <v>1.2</v>
      </c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">
      <c r="B7" s="84" t="s">
        <v>6</v>
      </c>
      <c r="C7" s="79">
        <f>SUM(D7:Y7)</f>
        <v>2991.2</v>
      </c>
      <c r="D7" s="85">
        <v>1495.6</v>
      </c>
      <c r="E7" s="81"/>
      <c r="F7" s="81"/>
      <c r="G7" s="81"/>
      <c r="H7" s="81"/>
      <c r="I7" s="81"/>
      <c r="J7" s="86"/>
      <c r="K7" s="81">
        <v>1495.6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">
      <c r="B8" s="87" t="s">
        <v>8</v>
      </c>
      <c r="C8" s="88">
        <f aca="true" t="shared" si="0" ref="C8:C16">SUM(D8:Z8)</f>
        <v>19558.499999999996</v>
      </c>
      <c r="D8" s="89">
        <f aca="true" t="shared" si="1" ref="D8:Y8">SUM(D9:D16)</f>
        <v>316.2</v>
      </c>
      <c r="E8" s="89">
        <f t="shared" si="1"/>
        <v>418.1</v>
      </c>
      <c r="F8" s="89">
        <f t="shared" si="1"/>
        <v>778.5999999999999</v>
      </c>
      <c r="G8" s="89">
        <f t="shared" si="1"/>
        <v>2218.3999999999996</v>
      </c>
      <c r="H8" s="89">
        <f t="shared" si="1"/>
        <v>1764.4</v>
      </c>
      <c r="I8" s="89">
        <f>SUM(I9:I16)</f>
        <v>476.4</v>
      </c>
      <c r="J8" s="89">
        <f t="shared" si="1"/>
        <v>458.4999999999999</v>
      </c>
      <c r="K8" s="89">
        <f>SUM(K9:K16)</f>
        <v>358.2</v>
      </c>
      <c r="L8" s="89">
        <f t="shared" si="1"/>
        <v>745.7</v>
      </c>
      <c r="M8" s="89">
        <f t="shared" si="1"/>
        <v>826</v>
      </c>
      <c r="N8" s="89">
        <f t="shared" si="1"/>
        <v>1204.5</v>
      </c>
      <c r="O8" s="89">
        <f t="shared" si="1"/>
        <v>908.3</v>
      </c>
      <c r="P8" s="89">
        <f t="shared" si="1"/>
        <v>769.5999999999999</v>
      </c>
      <c r="Q8" s="89">
        <f t="shared" si="1"/>
        <v>1062.8</v>
      </c>
      <c r="R8" s="89">
        <f t="shared" si="1"/>
        <v>905.7000000000002</v>
      </c>
      <c r="S8" s="89">
        <f>SUM(S9:S16)</f>
        <v>1042.8</v>
      </c>
      <c r="T8" s="89">
        <f>SUM(T9:T16)</f>
        <v>998.6000000000001</v>
      </c>
      <c r="U8" s="89">
        <f t="shared" si="1"/>
        <v>1442.1999999999998</v>
      </c>
      <c r="V8" s="89">
        <f t="shared" si="1"/>
        <v>1177.3000000000002</v>
      </c>
      <c r="W8" s="89">
        <f t="shared" si="1"/>
        <v>794.1999999999999</v>
      </c>
      <c r="X8" s="89">
        <f t="shared" si="1"/>
        <v>892</v>
      </c>
      <c r="Y8" s="89">
        <f t="shared" si="1"/>
        <v>0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">
      <c r="B9" s="27" t="s">
        <v>9</v>
      </c>
      <c r="C9" s="90">
        <f t="shared" si="0"/>
        <v>10585.000000000002</v>
      </c>
      <c r="D9" s="91">
        <v>137.7</v>
      </c>
      <c r="E9" s="86">
        <v>120.6</v>
      </c>
      <c r="F9" s="86">
        <v>579.9</v>
      </c>
      <c r="G9" s="86">
        <v>1912</v>
      </c>
      <c r="H9" s="86">
        <v>1349.7</v>
      </c>
      <c r="I9" s="86">
        <v>336.2</v>
      </c>
      <c r="J9" s="86">
        <v>246.7</v>
      </c>
      <c r="K9" s="86">
        <v>166.6</v>
      </c>
      <c r="L9" s="86">
        <v>244.1</v>
      </c>
      <c r="M9" s="86">
        <v>225.5</v>
      </c>
      <c r="N9" s="86">
        <v>385.3</v>
      </c>
      <c r="O9" s="86">
        <v>370.8</v>
      </c>
      <c r="P9" s="86">
        <v>162.5</v>
      </c>
      <c r="Q9" s="86">
        <v>366</v>
      </c>
      <c r="R9" s="92">
        <v>780.1</v>
      </c>
      <c r="S9" s="92">
        <v>957.9</v>
      </c>
      <c r="T9" s="86">
        <v>646.7</v>
      </c>
      <c r="U9" s="92">
        <v>208</v>
      </c>
      <c r="V9" s="86">
        <v>298.3</v>
      </c>
      <c r="W9" s="86">
        <v>633.2</v>
      </c>
      <c r="X9" s="86">
        <v>457.2</v>
      </c>
      <c r="Y9" s="86"/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0.3</v>
      </c>
      <c r="D10" s="91"/>
      <c r="E10" s="86"/>
      <c r="F10" s="86"/>
      <c r="G10" s="86"/>
      <c r="H10" s="86"/>
      <c r="I10" s="86"/>
      <c r="J10" s="86"/>
      <c r="K10" s="86"/>
      <c r="L10" s="86"/>
      <c r="M10" s="86">
        <v>0.3</v>
      </c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416.79999999999995</v>
      </c>
      <c r="D11" s="91"/>
      <c r="E11" s="86">
        <v>0.2</v>
      </c>
      <c r="F11" s="86">
        <v>0.6</v>
      </c>
      <c r="G11" s="86"/>
      <c r="H11" s="86">
        <v>0.4</v>
      </c>
      <c r="I11" s="86">
        <v>1.4</v>
      </c>
      <c r="J11" s="86">
        <v>31.2</v>
      </c>
      <c r="K11" s="86">
        <v>3.4</v>
      </c>
      <c r="L11" s="86">
        <v>2.8</v>
      </c>
      <c r="M11" s="86">
        <v>0.3</v>
      </c>
      <c r="N11" s="86">
        <v>4.6</v>
      </c>
      <c r="O11" s="86">
        <v>13.4</v>
      </c>
      <c r="P11" s="86">
        <v>10.5</v>
      </c>
      <c r="Q11" s="86">
        <v>30.1</v>
      </c>
      <c r="R11" s="92">
        <v>6.6</v>
      </c>
      <c r="S11" s="92">
        <v>0.6</v>
      </c>
      <c r="T11" s="86">
        <v>3.3</v>
      </c>
      <c r="U11" s="92">
        <v>102.5</v>
      </c>
      <c r="V11" s="86">
        <v>188.2</v>
      </c>
      <c r="W11" s="86">
        <v>8</v>
      </c>
      <c r="X11" s="86">
        <v>8.7</v>
      </c>
      <c r="Y11" s="86"/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">
      <c r="B12" s="27" t="s">
        <v>12</v>
      </c>
      <c r="C12" s="90">
        <f t="shared" si="0"/>
        <v>1104.7</v>
      </c>
      <c r="D12" s="91">
        <v>4.6</v>
      </c>
      <c r="E12" s="86">
        <v>106.2</v>
      </c>
      <c r="F12" s="86">
        <v>1.6</v>
      </c>
      <c r="G12" s="86">
        <v>7.3</v>
      </c>
      <c r="H12" s="86">
        <v>10.1</v>
      </c>
      <c r="I12" s="86">
        <v>1.8</v>
      </c>
      <c r="J12" s="86">
        <v>0.2</v>
      </c>
      <c r="K12" s="86">
        <v>10.1</v>
      </c>
      <c r="L12" s="86">
        <v>34.4</v>
      </c>
      <c r="M12" s="86">
        <v>31.6</v>
      </c>
      <c r="N12" s="86">
        <v>19.6</v>
      </c>
      <c r="O12" s="86">
        <v>32.4</v>
      </c>
      <c r="P12" s="86">
        <v>10</v>
      </c>
      <c r="Q12" s="86">
        <v>230</v>
      </c>
      <c r="R12" s="92">
        <v>24.6</v>
      </c>
      <c r="S12" s="92">
        <v>10.2</v>
      </c>
      <c r="T12" s="86">
        <v>39.7</v>
      </c>
      <c r="U12" s="92">
        <v>363.3</v>
      </c>
      <c r="V12" s="86">
        <v>40.5</v>
      </c>
      <c r="W12" s="86">
        <v>-57.1</v>
      </c>
      <c r="X12" s="86">
        <v>183.6</v>
      </c>
      <c r="Y12" s="86"/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">
      <c r="B13" s="27" t="s">
        <v>13</v>
      </c>
      <c r="C13" s="90">
        <f t="shared" si="0"/>
        <v>2723.3</v>
      </c>
      <c r="D13" s="91">
        <v>30</v>
      </c>
      <c r="E13" s="86">
        <v>16.7</v>
      </c>
      <c r="F13" s="86">
        <v>22.3</v>
      </c>
      <c r="G13" s="86">
        <v>13.8</v>
      </c>
      <c r="H13" s="86">
        <v>34.6</v>
      </c>
      <c r="I13" s="86">
        <v>10</v>
      </c>
      <c r="J13" s="86">
        <v>42</v>
      </c>
      <c r="K13" s="86">
        <v>26.1</v>
      </c>
      <c r="L13" s="86">
        <v>58.5</v>
      </c>
      <c r="M13" s="86">
        <v>63.4</v>
      </c>
      <c r="N13" s="86">
        <v>33.4</v>
      </c>
      <c r="O13" s="86">
        <v>40.4</v>
      </c>
      <c r="P13" s="86">
        <v>53.2</v>
      </c>
      <c r="Q13" s="86">
        <v>328.7</v>
      </c>
      <c r="R13" s="92">
        <v>56.6</v>
      </c>
      <c r="S13" s="92">
        <v>51.5</v>
      </c>
      <c r="T13" s="86">
        <v>228.7</v>
      </c>
      <c r="U13" s="86">
        <v>702.7</v>
      </c>
      <c r="V13" s="86">
        <v>604.7</v>
      </c>
      <c r="W13" s="86">
        <v>162.9</v>
      </c>
      <c r="X13" s="86">
        <v>143.1</v>
      </c>
      <c r="Y13" s="86"/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">
      <c r="B14" s="27" t="s">
        <v>14</v>
      </c>
      <c r="C14" s="90">
        <f t="shared" si="0"/>
        <v>3629.8000000000006</v>
      </c>
      <c r="D14" s="91">
        <v>91.9</v>
      </c>
      <c r="E14" s="86">
        <v>156.7</v>
      </c>
      <c r="F14" s="86">
        <v>153.9</v>
      </c>
      <c r="G14" s="86">
        <v>273.5</v>
      </c>
      <c r="H14" s="86">
        <v>273.6</v>
      </c>
      <c r="I14" s="86">
        <v>101.5</v>
      </c>
      <c r="J14" s="86">
        <v>114.6</v>
      </c>
      <c r="K14" s="86">
        <v>121.7</v>
      </c>
      <c r="L14" s="86">
        <v>191.2</v>
      </c>
      <c r="M14" s="86">
        <v>427.7</v>
      </c>
      <c r="N14" s="86">
        <v>535.1</v>
      </c>
      <c r="O14" s="86">
        <v>423.8</v>
      </c>
      <c r="P14" s="86">
        <v>504.4</v>
      </c>
      <c r="Q14" s="86">
        <v>85.8</v>
      </c>
      <c r="R14" s="92">
        <v>2.7</v>
      </c>
      <c r="S14" s="92">
        <v>13.1</v>
      </c>
      <c r="T14" s="86">
        <v>56.6</v>
      </c>
      <c r="U14" s="92">
        <v>16.8</v>
      </c>
      <c r="V14" s="86">
        <v>21.4</v>
      </c>
      <c r="W14" s="86">
        <v>8.5</v>
      </c>
      <c r="X14" s="86">
        <v>55.3</v>
      </c>
      <c r="Y14" s="86"/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259.3</v>
      </c>
      <c r="D15" s="91">
        <v>14.3</v>
      </c>
      <c r="E15" s="86">
        <v>14.6</v>
      </c>
      <c r="F15" s="86">
        <v>12.4</v>
      </c>
      <c r="G15" s="86">
        <v>10.1</v>
      </c>
      <c r="H15" s="86">
        <v>10.8</v>
      </c>
      <c r="I15" s="86">
        <v>13.6</v>
      </c>
      <c r="J15" s="86">
        <v>9.4</v>
      </c>
      <c r="K15" s="86">
        <v>13.5</v>
      </c>
      <c r="L15" s="86">
        <v>12.4</v>
      </c>
      <c r="M15" s="86">
        <v>14.7</v>
      </c>
      <c r="N15" s="86">
        <v>15.2</v>
      </c>
      <c r="O15" s="86">
        <v>12.4</v>
      </c>
      <c r="P15" s="86">
        <v>8.7</v>
      </c>
      <c r="Q15" s="86">
        <v>11.5</v>
      </c>
      <c r="R15" s="92">
        <v>15.7</v>
      </c>
      <c r="S15" s="92">
        <v>7.9</v>
      </c>
      <c r="T15" s="86">
        <v>14.4</v>
      </c>
      <c r="U15" s="92">
        <v>7.6</v>
      </c>
      <c r="V15" s="86">
        <v>11.4</v>
      </c>
      <c r="W15" s="86">
        <v>14.3</v>
      </c>
      <c r="X15" s="86">
        <v>14.4</v>
      </c>
      <c r="Y15" s="86"/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839.3000000000001</v>
      </c>
      <c r="D16" s="91">
        <v>37.7</v>
      </c>
      <c r="E16" s="86">
        <v>3.1</v>
      </c>
      <c r="F16" s="86">
        <v>7.9</v>
      </c>
      <c r="G16" s="86">
        <v>1.7</v>
      </c>
      <c r="H16" s="86">
        <v>85.2</v>
      </c>
      <c r="I16" s="86">
        <v>11.9</v>
      </c>
      <c r="J16" s="86">
        <v>14.4</v>
      </c>
      <c r="K16" s="86">
        <v>16.8</v>
      </c>
      <c r="L16" s="86">
        <v>202.3</v>
      </c>
      <c r="M16" s="86">
        <v>62.5</v>
      </c>
      <c r="N16" s="86">
        <v>211.3</v>
      </c>
      <c r="O16" s="86">
        <v>15.1</v>
      </c>
      <c r="P16" s="86">
        <v>20.3</v>
      </c>
      <c r="Q16" s="86">
        <v>10.7</v>
      </c>
      <c r="R16" s="92">
        <v>19.4</v>
      </c>
      <c r="S16" s="92">
        <v>1.6</v>
      </c>
      <c r="T16" s="86">
        <v>9.2</v>
      </c>
      <c r="U16" s="92">
        <v>41.3</v>
      </c>
      <c r="V16" s="86">
        <v>12.8</v>
      </c>
      <c r="W16" s="86">
        <v>24.4</v>
      </c>
      <c r="X16" s="92">
        <v>29.7</v>
      </c>
      <c r="Y16" s="86"/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22550.899999999998</v>
      </c>
      <c r="D17" s="101">
        <f>SUM(D6:D8)</f>
        <v>1811.8</v>
      </c>
      <c r="E17" s="101">
        <f aca="true" t="shared" si="2" ref="E17:Y17">SUM(E6:E8)</f>
        <v>418.1</v>
      </c>
      <c r="F17" s="101">
        <f t="shared" si="2"/>
        <v>778.5999999999999</v>
      </c>
      <c r="G17" s="101">
        <f t="shared" si="2"/>
        <v>2218.3999999999996</v>
      </c>
      <c r="H17" s="101">
        <f t="shared" si="2"/>
        <v>1764.4</v>
      </c>
      <c r="I17" s="101">
        <f t="shared" si="2"/>
        <v>476.4</v>
      </c>
      <c r="J17" s="101">
        <f t="shared" si="2"/>
        <v>458.4999999999999</v>
      </c>
      <c r="K17" s="101">
        <f t="shared" si="2"/>
        <v>1853.8</v>
      </c>
      <c r="L17" s="101">
        <f t="shared" si="2"/>
        <v>746.9000000000001</v>
      </c>
      <c r="M17" s="101">
        <f>SUM(M6:M8)</f>
        <v>826</v>
      </c>
      <c r="N17" s="101">
        <f t="shared" si="2"/>
        <v>1204.5</v>
      </c>
      <c r="O17" s="101">
        <f t="shared" si="2"/>
        <v>908.3</v>
      </c>
      <c r="P17" s="101">
        <f t="shared" si="2"/>
        <v>769.5999999999999</v>
      </c>
      <c r="Q17" s="101">
        <f t="shared" si="2"/>
        <v>1062.8</v>
      </c>
      <c r="R17" s="101">
        <f t="shared" si="2"/>
        <v>905.7000000000002</v>
      </c>
      <c r="S17" s="101">
        <f>SUM(S6:S8)</f>
        <v>1042.8</v>
      </c>
      <c r="T17" s="101">
        <f>SUM(T6:T8)</f>
        <v>998.6000000000001</v>
      </c>
      <c r="U17" s="101">
        <f t="shared" si="2"/>
        <v>1442.1999999999998</v>
      </c>
      <c r="V17" s="101">
        <f t="shared" si="2"/>
        <v>1177.3000000000002</v>
      </c>
      <c r="W17" s="101">
        <f t="shared" si="2"/>
        <v>794.1999999999999</v>
      </c>
      <c r="X17" s="101">
        <f t="shared" si="2"/>
        <v>892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">
      <c r="B18" s="102" t="s">
        <v>18</v>
      </c>
      <c r="C18" s="103">
        <f>C19+C23+C29+C32+C33+C35+C36+C42+C46+C50+C53+C58+C64+C71+C76+C77+C81+C31+C67+C75+C73+C74+C78+C79+C80+C70+C34</f>
        <v>31860.612899999996</v>
      </c>
      <c r="D18" s="103">
        <f aca="true" t="shared" si="3" ref="D18:AA18">D19+D23+D29+D32+D33+D35+D36+D42+D46+D50+D53+D58+D64+D71+D76+D77+D81+D31+D67+D75+D73+D74+D78+D79+D80+D70+D34</f>
        <v>234.89939</v>
      </c>
      <c r="E18" s="103">
        <f t="shared" si="3"/>
        <v>149.42543</v>
      </c>
      <c r="F18" s="103">
        <f t="shared" si="3"/>
        <v>481.76000000000005</v>
      </c>
      <c r="G18" s="103">
        <f t="shared" si="3"/>
        <v>1038.672</v>
      </c>
      <c r="H18" s="103">
        <f t="shared" si="3"/>
        <v>404.21900000000005</v>
      </c>
      <c r="I18" s="103">
        <f t="shared" si="3"/>
        <v>893.38659</v>
      </c>
      <c r="J18" s="103">
        <f t="shared" si="3"/>
        <v>669.566</v>
      </c>
      <c r="K18" s="103">
        <f t="shared" si="3"/>
        <v>1485.39332</v>
      </c>
      <c r="L18" s="103">
        <f t="shared" si="3"/>
        <v>1797.0082400000001</v>
      </c>
      <c r="M18" s="103">
        <f t="shared" si="3"/>
        <v>175.57832</v>
      </c>
      <c r="N18" s="103">
        <f t="shared" si="3"/>
        <v>201.788</v>
      </c>
      <c r="O18" s="103">
        <f t="shared" si="3"/>
        <v>209.703</v>
      </c>
      <c r="P18" s="103">
        <f t="shared" si="3"/>
        <v>950.59789</v>
      </c>
      <c r="Q18" s="103">
        <f t="shared" si="3"/>
        <v>334.44593</v>
      </c>
      <c r="R18" s="103">
        <f t="shared" si="3"/>
        <v>638.123</v>
      </c>
      <c r="S18" s="103">
        <f t="shared" si="3"/>
        <v>4184.368</v>
      </c>
      <c r="T18" s="103">
        <f t="shared" si="3"/>
        <v>1311.857</v>
      </c>
      <c r="U18" s="103">
        <f t="shared" si="3"/>
        <v>1257.815</v>
      </c>
      <c r="V18" s="103">
        <f t="shared" si="3"/>
        <v>98.072</v>
      </c>
      <c r="W18" s="103">
        <f t="shared" si="3"/>
        <v>922.3380000000001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17439.01611</v>
      </c>
      <c r="AB18" s="104">
        <f aca="true" t="shared" si="4" ref="AB18:AB50">AA18-C18</f>
        <v>-14421.596789999996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">
      <c r="A19" s="66">
        <v>10116</v>
      </c>
      <c r="B19" s="105" t="s">
        <v>19</v>
      </c>
      <c r="C19" s="106">
        <f aca="true" t="shared" si="5" ref="C19:AA19">SUM(C20:C22)</f>
        <v>4975.4871299999995</v>
      </c>
      <c r="D19" s="106">
        <f t="shared" si="5"/>
        <v>66.19</v>
      </c>
      <c r="E19" s="106">
        <f t="shared" si="5"/>
        <v>25.95243</v>
      </c>
      <c r="F19" s="106">
        <f t="shared" si="5"/>
        <v>4.201</v>
      </c>
      <c r="G19" s="106">
        <f t="shared" si="5"/>
        <v>7.885</v>
      </c>
      <c r="H19" s="106">
        <f t="shared" si="5"/>
        <v>5.183</v>
      </c>
      <c r="I19" s="106">
        <f t="shared" si="5"/>
        <v>71.96613</v>
      </c>
      <c r="J19" s="106">
        <f t="shared" si="5"/>
        <v>126.925</v>
      </c>
      <c r="K19" s="106">
        <f t="shared" si="5"/>
        <v>234.46258</v>
      </c>
      <c r="L19" s="106">
        <f t="shared" si="5"/>
        <v>865.2245700000001</v>
      </c>
      <c r="M19" s="106">
        <f t="shared" si="5"/>
        <v>33.627509999999994</v>
      </c>
      <c r="N19" s="106">
        <f t="shared" si="5"/>
        <v>0.64</v>
      </c>
      <c r="O19" s="106">
        <f t="shared" si="5"/>
        <v>7.811</v>
      </c>
      <c r="P19" s="106">
        <f t="shared" si="5"/>
        <v>43.9666</v>
      </c>
      <c r="Q19" s="106">
        <f t="shared" si="5"/>
        <v>131.77268</v>
      </c>
      <c r="R19" s="106">
        <f t="shared" si="5"/>
        <v>61.616</v>
      </c>
      <c r="S19" s="106">
        <f t="shared" si="5"/>
        <v>104.329</v>
      </c>
      <c r="T19" s="106">
        <f>SUM(T20:T22)</f>
        <v>102.666</v>
      </c>
      <c r="U19" s="106">
        <f t="shared" si="5"/>
        <v>517.95</v>
      </c>
      <c r="V19" s="106">
        <f t="shared" si="5"/>
        <v>14.858</v>
      </c>
      <c r="W19" s="106">
        <f t="shared" si="5"/>
        <v>918.0880000000001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3345.3145</v>
      </c>
      <c r="AB19" s="104">
        <f t="shared" si="4"/>
        <v>-1630.1726299999996</v>
      </c>
      <c r="AD19" s="73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2:33" ht="15">
      <c r="B20" s="107" t="s">
        <v>20</v>
      </c>
      <c r="C20" s="108">
        <f>3182.59498+66.19+14.25+430+36+16.2</f>
        <v>3745.2349799999997</v>
      </c>
      <c r="D20" s="81">
        <v>66</v>
      </c>
      <c r="E20" s="81"/>
      <c r="F20" s="81"/>
      <c r="G20" s="81"/>
      <c r="H20" s="81"/>
      <c r="I20" s="81">
        <v>17.495</v>
      </c>
      <c r="J20" s="86">
        <v>106.961</v>
      </c>
      <c r="K20" s="81">
        <v>203.63258</v>
      </c>
      <c r="L20" s="81">
        <v>863.44037</v>
      </c>
      <c r="M20" s="81">
        <v>33.535</v>
      </c>
      <c r="N20" s="81"/>
      <c r="O20" s="81"/>
      <c r="P20" s="81">
        <v>27.72</v>
      </c>
      <c r="Q20" s="81"/>
      <c r="R20" s="81">
        <v>47.609</v>
      </c>
      <c r="S20" s="81">
        <v>98.359</v>
      </c>
      <c r="T20" s="81">
        <v>102.426</v>
      </c>
      <c r="U20" s="81">
        <v>517.95</v>
      </c>
      <c r="V20" s="86"/>
      <c r="W20" s="86">
        <v>918.152</v>
      </c>
      <c r="X20" s="86"/>
      <c r="Y20" s="81"/>
      <c r="Z20" s="81"/>
      <c r="AA20" s="81">
        <f>SUM(D20:Z20)</f>
        <v>3003.27995</v>
      </c>
      <c r="AB20" s="104">
        <f t="shared" si="4"/>
        <v>-741.9550299999996</v>
      </c>
      <c r="AC20" s="71"/>
      <c r="AD20" s="67" t="s">
        <v>21</v>
      </c>
      <c r="AE20" s="109">
        <f>AA19</f>
        <v>3345.3145</v>
      </c>
      <c r="AG20" s="72"/>
    </row>
    <row r="21" spans="2:33" ht="15">
      <c r="B21" s="107" t="s">
        <v>22</v>
      </c>
      <c r="C21" s="108">
        <f>330.29251-71-120-10</f>
        <v>129.29251</v>
      </c>
      <c r="D21" s="81"/>
      <c r="E21" s="81"/>
      <c r="F21" s="81"/>
      <c r="G21" s="81"/>
      <c r="H21" s="81"/>
      <c r="I21" s="81"/>
      <c r="J21" s="86"/>
      <c r="K21" s="81"/>
      <c r="L21" s="81"/>
      <c r="M21" s="81"/>
      <c r="N21" s="81">
        <v>0.64</v>
      </c>
      <c r="O21" s="81"/>
      <c r="P21" s="81">
        <v>11.02889</v>
      </c>
      <c r="Q21" s="81">
        <v>1.3878</v>
      </c>
      <c r="R21" s="81">
        <v>4.149</v>
      </c>
      <c r="S21" s="81"/>
      <c r="T21" s="81"/>
      <c r="U21" s="81"/>
      <c r="V21" s="86"/>
      <c r="W21" s="86">
        <v>-0.064</v>
      </c>
      <c r="X21" s="86"/>
      <c r="Y21" s="81"/>
      <c r="Z21" s="81"/>
      <c r="AA21" s="81">
        <f>SUM(D21:Z21)</f>
        <v>17.14169</v>
      </c>
      <c r="AB21" s="104">
        <f t="shared" si="4"/>
        <v>-112.15082</v>
      </c>
      <c r="AC21" s="71"/>
      <c r="AD21" s="67" t="s">
        <v>23</v>
      </c>
      <c r="AE21" s="109">
        <f>AA23</f>
        <v>5940.442700000001</v>
      </c>
      <c r="AG21" s="72"/>
    </row>
    <row r="22" spans="2:33" ht="15">
      <c r="B22" s="107" t="s">
        <v>24</v>
      </c>
      <c r="C22" s="108">
        <f>1346.35964-129-110-6.2-0.2</f>
        <v>1100.9596399999998</v>
      </c>
      <c r="D22" s="81">
        <v>0.19</v>
      </c>
      <c r="E22" s="81">
        <v>25.95243</v>
      </c>
      <c r="F22" s="81">
        <v>4.201</v>
      </c>
      <c r="G22" s="81">
        <v>7.885</v>
      </c>
      <c r="H22" s="81">
        <v>5.183</v>
      </c>
      <c r="I22" s="81">
        <v>54.47113</v>
      </c>
      <c r="J22" s="81">
        <v>19.964</v>
      </c>
      <c r="K22" s="81">
        <v>30.83</v>
      </c>
      <c r="L22" s="81">
        <v>1.7842</v>
      </c>
      <c r="M22" s="81">
        <v>0.09251</v>
      </c>
      <c r="N22" s="81"/>
      <c r="O22" s="81">
        <v>7.811</v>
      </c>
      <c r="P22" s="81">
        <v>5.21771</v>
      </c>
      <c r="Q22" s="81">
        <v>130.38488</v>
      </c>
      <c r="R22" s="81">
        <v>9.858</v>
      </c>
      <c r="S22" s="81">
        <v>5.97</v>
      </c>
      <c r="T22" s="81">
        <v>0.24</v>
      </c>
      <c r="U22" s="81"/>
      <c r="V22" s="81">
        <v>14.858</v>
      </c>
      <c r="W22" s="81"/>
      <c r="X22" s="81"/>
      <c r="Y22" s="81"/>
      <c r="Z22" s="81"/>
      <c r="AA22" s="81">
        <f>SUM(D22:Z22)</f>
        <v>324.89286000000004</v>
      </c>
      <c r="AB22" s="104">
        <f t="shared" si="4"/>
        <v>-776.0667799999998</v>
      </c>
      <c r="AC22" s="71"/>
      <c r="AD22" s="67" t="s">
        <v>25</v>
      </c>
      <c r="AE22" s="109">
        <f>$AA$29+$AA$31</f>
        <v>124.00715000000001</v>
      </c>
      <c r="AG22" s="72"/>
    </row>
    <row r="23" spans="1:40" s="66" customFormat="1" ht="15">
      <c r="A23" s="66">
        <v>7000</v>
      </c>
      <c r="B23" s="105" t="s">
        <v>26</v>
      </c>
      <c r="C23" s="106">
        <f aca="true" t="shared" si="6" ref="C23:AA23">SUM(C24:C28)</f>
        <v>16256.589339999999</v>
      </c>
      <c r="D23" s="106">
        <f t="shared" si="6"/>
        <v>0</v>
      </c>
      <c r="E23" s="106">
        <f t="shared" si="6"/>
        <v>10.28</v>
      </c>
      <c r="F23" s="106">
        <f t="shared" si="6"/>
        <v>26.381</v>
      </c>
      <c r="G23" s="106">
        <f t="shared" si="6"/>
        <v>55.879999999999995</v>
      </c>
      <c r="H23" s="106">
        <f t="shared" si="6"/>
        <v>203.609</v>
      </c>
      <c r="I23" s="106">
        <f t="shared" si="6"/>
        <v>154.84119</v>
      </c>
      <c r="J23" s="106">
        <f t="shared" si="6"/>
        <v>365.84999999999997</v>
      </c>
      <c r="K23" s="106">
        <f t="shared" si="6"/>
        <v>995.27041</v>
      </c>
      <c r="L23" s="106">
        <f t="shared" si="6"/>
        <v>141.56177</v>
      </c>
      <c r="M23" s="106">
        <f t="shared" si="6"/>
        <v>10.03343</v>
      </c>
      <c r="N23" s="106">
        <f t="shared" si="6"/>
        <v>130.78</v>
      </c>
      <c r="O23" s="106">
        <f t="shared" si="6"/>
        <v>11.415</v>
      </c>
      <c r="P23" s="106">
        <f t="shared" si="6"/>
        <v>7.8522</v>
      </c>
      <c r="Q23" s="106">
        <f>SUM(Q24:Q28)</f>
        <v>63.0247</v>
      </c>
      <c r="R23" s="106">
        <f t="shared" si="6"/>
        <v>107.812</v>
      </c>
      <c r="S23" s="106">
        <f t="shared" si="6"/>
        <v>2620.597</v>
      </c>
      <c r="T23" s="106">
        <f>SUM(T24:T28)</f>
        <v>945.2090000000001</v>
      </c>
      <c r="U23" s="106">
        <f>SUM(U24:U28)</f>
        <v>9.832</v>
      </c>
      <c r="V23" s="106">
        <f t="shared" si="6"/>
        <v>80.214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5940.442700000001</v>
      </c>
      <c r="AB23" s="104">
        <f t="shared" si="4"/>
        <v>-10316.146639999997</v>
      </c>
      <c r="AC23" s="65"/>
      <c r="AD23" s="67" t="s">
        <v>27</v>
      </c>
      <c r="AE23" s="109">
        <f>$AA$32+$AA$33+$AA$36+$AA$42+$AA$46+$AA$35</f>
        <v>1060.0527900000002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">
      <c r="B24" s="107" t="s">
        <v>20</v>
      </c>
      <c r="C24" s="108">
        <f>12672.83925-14.25</f>
        <v>12658.58925</v>
      </c>
      <c r="D24" s="81"/>
      <c r="E24" s="81"/>
      <c r="F24" s="81">
        <v>22.372</v>
      </c>
      <c r="G24" s="81">
        <f>23.76+1</f>
        <v>24.76</v>
      </c>
      <c r="H24" s="81">
        <f>90.301+98.028</f>
        <v>188.329</v>
      </c>
      <c r="I24" s="81">
        <v>63.78505</v>
      </c>
      <c r="J24" s="86">
        <v>361.272</v>
      </c>
      <c r="K24" s="81">
        <v>972.62095</v>
      </c>
      <c r="L24" s="81">
        <v>139.33114</v>
      </c>
      <c r="M24" s="81"/>
      <c r="N24" s="81">
        <v>24.295</v>
      </c>
      <c r="O24" s="81"/>
      <c r="P24" s="81"/>
      <c r="Q24" s="81"/>
      <c r="R24" s="110">
        <v>107.461</v>
      </c>
      <c r="S24" s="81">
        <f>1296.906+1121.345+14.238</f>
        <v>2432.489</v>
      </c>
      <c r="T24" s="81">
        <f>579.176+408.651</f>
        <v>987.827</v>
      </c>
      <c r="U24" s="81"/>
      <c r="V24" s="86"/>
      <c r="W24" s="86"/>
      <c r="X24" s="86"/>
      <c r="Y24" s="81"/>
      <c r="Z24" s="81"/>
      <c r="AA24" s="81">
        <f>SUM(D24:Z24)</f>
        <v>5324.5421400000005</v>
      </c>
      <c r="AB24" s="104">
        <f t="shared" si="4"/>
        <v>-7334.04711</v>
      </c>
      <c r="AC24" s="71"/>
      <c r="AD24" s="67" t="s">
        <v>28</v>
      </c>
      <c r="AE24" s="109">
        <f>$AA$64+$AA$67+AA74</f>
        <v>2308.04952</v>
      </c>
      <c r="AG24" s="72"/>
    </row>
    <row r="25" spans="2:33" ht="15">
      <c r="B25" s="107" t="s">
        <v>29</v>
      </c>
      <c r="C25" s="108">
        <v>11.82368</v>
      </c>
      <c r="D25" s="81"/>
      <c r="E25" s="81"/>
      <c r="F25" s="81"/>
      <c r="G25" s="81"/>
      <c r="H25" s="81"/>
      <c r="I25" s="81"/>
      <c r="J25" s="86"/>
      <c r="K25" s="81"/>
      <c r="L25" s="81"/>
      <c r="M25" s="81"/>
      <c r="N25" s="81"/>
      <c r="O25" s="81"/>
      <c r="P25" s="81"/>
      <c r="Q25" s="81"/>
      <c r="R25" s="110"/>
      <c r="S25" s="81">
        <v>0.998</v>
      </c>
      <c r="T25" s="81">
        <v>1.999</v>
      </c>
      <c r="U25" s="81"/>
      <c r="V25" s="86"/>
      <c r="W25" s="86"/>
      <c r="X25" s="86"/>
      <c r="Y25" s="81"/>
      <c r="Z25" s="81"/>
      <c r="AA25" s="81">
        <f>SUM(D25:Z25)</f>
        <v>2.997</v>
      </c>
      <c r="AB25" s="104">
        <f t="shared" si="4"/>
        <v>-8.82668</v>
      </c>
      <c r="AC25" s="71"/>
      <c r="AD25" s="67" t="s">
        <v>30</v>
      </c>
      <c r="AE25" s="109">
        <f>$AA$53</f>
        <v>369.45826</v>
      </c>
      <c r="AG25" s="72"/>
    </row>
    <row r="26" spans="2:33" ht="15">
      <c r="B26" s="107" t="s">
        <v>31</v>
      </c>
      <c r="C26" s="108">
        <v>728.5204</v>
      </c>
      <c r="D26" s="81"/>
      <c r="E26" s="81"/>
      <c r="F26" s="81"/>
      <c r="G26" s="81">
        <v>8.524</v>
      </c>
      <c r="H26" s="81"/>
      <c r="I26" s="81">
        <v>39.9543</v>
      </c>
      <c r="J26" s="86">
        <v>1.376</v>
      </c>
      <c r="K26" s="81">
        <v>16.13266</v>
      </c>
      <c r="L26" s="81"/>
      <c r="M26" s="81"/>
      <c r="N26" s="81">
        <v>92.083</v>
      </c>
      <c r="O26" s="81">
        <v>6.469</v>
      </c>
      <c r="P26" s="81"/>
      <c r="Q26" s="81">
        <v>34.22285</v>
      </c>
      <c r="R26" s="110"/>
      <c r="S26" s="81">
        <v>59.989</v>
      </c>
      <c r="T26" s="81">
        <v>24.027</v>
      </c>
      <c r="U26" s="81"/>
      <c r="V26" s="86">
        <v>27.9</v>
      </c>
      <c r="W26" s="86"/>
      <c r="X26" s="86"/>
      <c r="Y26" s="81"/>
      <c r="Z26" s="81"/>
      <c r="AA26" s="81">
        <f>SUM(D26:Z26)</f>
        <v>310.67780999999997</v>
      </c>
      <c r="AB26" s="104">
        <f t="shared" si="4"/>
        <v>-417.84259000000003</v>
      </c>
      <c r="AC26" s="71"/>
      <c r="AD26" s="67" t="s">
        <v>32</v>
      </c>
      <c r="AE26" s="109">
        <f>$AA$58</f>
        <v>262.74325</v>
      </c>
      <c r="AG26" s="72"/>
    </row>
    <row r="27" spans="2:33" ht="15">
      <c r="B27" s="107" t="s">
        <v>22</v>
      </c>
      <c r="C27" s="108">
        <v>644.98001</v>
      </c>
      <c r="D27" s="81"/>
      <c r="E27" s="81"/>
      <c r="F27" s="81"/>
      <c r="G27" s="81">
        <v>3.25</v>
      </c>
      <c r="H27" s="81">
        <v>4.632</v>
      </c>
      <c r="I27" s="81">
        <v>1.54486</v>
      </c>
      <c r="J27" s="86"/>
      <c r="K27" s="81"/>
      <c r="L27" s="81"/>
      <c r="M27" s="81"/>
      <c r="N27" s="81">
        <v>5.806</v>
      </c>
      <c r="O27" s="81"/>
      <c r="P27" s="81">
        <v>7.8522</v>
      </c>
      <c r="Q27" s="81">
        <v>17.49999</v>
      </c>
      <c r="R27" s="110"/>
      <c r="S27" s="81">
        <v>71.366</v>
      </c>
      <c r="T27" s="81">
        <v>3.213</v>
      </c>
      <c r="U27" s="81"/>
      <c r="V27" s="86"/>
      <c r="W27" s="86"/>
      <c r="X27" s="86"/>
      <c r="Y27" s="81"/>
      <c r="Z27" s="81"/>
      <c r="AA27" s="81">
        <f>SUM(D27:Z27)</f>
        <v>115.16404999999999</v>
      </c>
      <c r="AB27" s="104">
        <f t="shared" si="4"/>
        <v>-529.81596</v>
      </c>
      <c r="AC27" s="71"/>
      <c r="AD27" s="67" t="s">
        <v>33</v>
      </c>
      <c r="AE27" s="109">
        <f>$AA$50+$AA$71+$AA$76+$AA$77+$AA$81+$AA$73+$AA$75+$AA$78+$AA$79+$AA$80</f>
        <v>4028.94794</v>
      </c>
      <c r="AG27" s="72"/>
    </row>
    <row r="28" spans="2:33" ht="15">
      <c r="B28" s="107" t="s">
        <v>24</v>
      </c>
      <c r="C28" s="108">
        <f>1930.013+282.663</f>
        <v>2212.676</v>
      </c>
      <c r="D28" s="81"/>
      <c r="E28" s="81">
        <v>10.28</v>
      </c>
      <c r="F28" s="81">
        <v>4.009</v>
      </c>
      <c r="G28" s="81">
        <v>19.346</v>
      </c>
      <c r="H28" s="81">
        <v>10.648</v>
      </c>
      <c r="I28" s="81">
        <f>43.95698+5.6</f>
        <v>49.55698</v>
      </c>
      <c r="J28" s="81">
        <v>3.202</v>
      </c>
      <c r="K28" s="81">
        <v>6.5168</v>
      </c>
      <c r="L28" s="81">
        <v>2.23063</v>
      </c>
      <c r="M28" s="81">
        <v>10.03343</v>
      </c>
      <c r="N28" s="81">
        <v>8.596</v>
      </c>
      <c r="O28" s="81">
        <v>4.946</v>
      </c>
      <c r="P28" s="81"/>
      <c r="Q28" s="81">
        <v>11.30186</v>
      </c>
      <c r="R28" s="81">
        <v>0.351</v>
      </c>
      <c r="S28" s="81">
        <v>55.755</v>
      </c>
      <c r="T28" s="81">
        <f>13.143-85</f>
        <v>-71.857</v>
      </c>
      <c r="U28" s="81">
        <v>9.832</v>
      </c>
      <c r="V28" s="81">
        <v>52.314</v>
      </c>
      <c r="W28" s="81"/>
      <c r="X28" s="81"/>
      <c r="Y28" s="81"/>
      <c r="Z28" s="81"/>
      <c r="AA28" s="81">
        <f>SUM(D28:Z28)</f>
        <v>187.0617</v>
      </c>
      <c r="AB28" s="104">
        <f t="shared" si="4"/>
        <v>-2025.6143</v>
      </c>
      <c r="AC28" s="71"/>
      <c r="AE28" s="111"/>
      <c r="AG28" s="72"/>
    </row>
    <row r="29" spans="2:33" ht="27.75">
      <c r="B29" s="105" t="s">
        <v>34</v>
      </c>
      <c r="C29" s="106">
        <f>C30</f>
        <v>569.23808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73.465</v>
      </c>
      <c r="G29" s="106">
        <f t="shared" si="7"/>
        <v>0</v>
      </c>
      <c r="H29" s="106">
        <f t="shared" si="7"/>
        <v>8.442</v>
      </c>
      <c r="I29" s="106">
        <f t="shared" si="7"/>
        <v>0</v>
      </c>
      <c r="J29" s="106">
        <f t="shared" si="7"/>
        <v>0</v>
      </c>
      <c r="K29" s="106">
        <f t="shared" si="7"/>
        <v>0</v>
      </c>
      <c r="L29" s="106">
        <f t="shared" si="7"/>
        <v>13.72522</v>
      </c>
      <c r="M29" s="106">
        <f t="shared" si="7"/>
        <v>0</v>
      </c>
      <c r="N29" s="106">
        <f t="shared" si="7"/>
        <v>5.079</v>
      </c>
      <c r="O29" s="106">
        <f t="shared" si="7"/>
        <v>0</v>
      </c>
      <c r="P29" s="106">
        <f t="shared" si="7"/>
        <v>6.07507</v>
      </c>
      <c r="Q29" s="106">
        <f t="shared" si="7"/>
        <v>1.95886</v>
      </c>
      <c r="R29" s="106">
        <f t="shared" si="7"/>
        <v>0</v>
      </c>
      <c r="S29" s="106">
        <f t="shared" si="7"/>
        <v>0</v>
      </c>
      <c r="T29" s="106">
        <f t="shared" si="7"/>
        <v>15.262</v>
      </c>
      <c r="U29" s="106">
        <f t="shared" si="7"/>
        <v>0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124.00715000000001</v>
      </c>
      <c r="AB29" s="104">
        <f t="shared" si="4"/>
        <v>-445.23092999999994</v>
      </c>
      <c r="AC29" s="71"/>
      <c r="AE29" s="111"/>
      <c r="AG29" s="72"/>
    </row>
    <row r="30" spans="2:31" ht="15">
      <c r="B30" s="112" t="s">
        <v>35</v>
      </c>
      <c r="C30" s="113">
        <v>569.23808</v>
      </c>
      <c r="D30" s="86"/>
      <c r="E30" s="86"/>
      <c r="F30" s="86">
        <v>73.465</v>
      </c>
      <c r="G30" s="86"/>
      <c r="H30" s="86">
        <v>8.442</v>
      </c>
      <c r="I30" s="86"/>
      <c r="J30" s="86"/>
      <c r="K30" s="86"/>
      <c r="L30" s="86">
        <v>13.72522</v>
      </c>
      <c r="M30" s="86"/>
      <c r="N30" s="86">
        <v>5.079</v>
      </c>
      <c r="O30" s="86"/>
      <c r="P30" s="86">
        <v>6.07507</v>
      </c>
      <c r="Q30" s="86">
        <v>1.95886</v>
      </c>
      <c r="R30" s="86"/>
      <c r="S30" s="86"/>
      <c r="T30" s="86">
        <v>15.262</v>
      </c>
      <c r="U30" s="86"/>
      <c r="V30" s="86"/>
      <c r="W30" s="86"/>
      <c r="X30" s="86"/>
      <c r="Y30" s="113"/>
      <c r="Z30" s="113"/>
      <c r="AA30" s="81">
        <f>SUM(D30:Z30)</f>
        <v>124.00715000000001</v>
      </c>
      <c r="AB30" s="104">
        <f t="shared" si="4"/>
        <v>-445.23092999999994</v>
      </c>
      <c r="AE30" s="111"/>
    </row>
    <row r="31" spans="2:31" ht="42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0</v>
      </c>
      <c r="AE31" s="111"/>
    </row>
    <row r="32" spans="1:40" s="66" customFormat="1" ht="27.75">
      <c r="A32" s="66" t="s">
        <v>37</v>
      </c>
      <c r="B32" s="105" t="s">
        <v>38</v>
      </c>
      <c r="C32" s="106">
        <f>935.36969+100+0.2</f>
        <v>1035.56969</v>
      </c>
      <c r="D32" s="106"/>
      <c r="E32" s="106">
        <v>1.936</v>
      </c>
      <c r="F32" s="106">
        <v>74.251</v>
      </c>
      <c r="G32" s="106"/>
      <c r="H32" s="106">
        <v>2.706</v>
      </c>
      <c r="I32" s="106"/>
      <c r="J32" s="106"/>
      <c r="K32" s="106"/>
      <c r="L32" s="106">
        <v>68.918</v>
      </c>
      <c r="M32" s="106"/>
      <c r="N32" s="106"/>
      <c r="O32" s="106"/>
      <c r="P32" s="106">
        <v>126.274</v>
      </c>
      <c r="Q32" s="106"/>
      <c r="R32" s="106">
        <f>10.883+4.054</f>
        <v>14.937</v>
      </c>
      <c r="S32" s="106"/>
      <c r="T32" s="106">
        <v>25.766</v>
      </c>
      <c r="U32" s="106"/>
      <c r="V32" s="106">
        <v>3</v>
      </c>
      <c r="W32" s="106">
        <v>8</v>
      </c>
      <c r="X32" s="106"/>
      <c r="Y32" s="106"/>
      <c r="Z32" s="106"/>
      <c r="AA32" s="106">
        <f>SUM(D32:Z32)</f>
        <v>325.78800000000007</v>
      </c>
      <c r="AB32" s="104">
        <f t="shared" si="4"/>
        <v>-709.78169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2">
      <c r="B33" s="105" t="s">
        <v>39</v>
      </c>
      <c r="C33" s="106">
        <f>834.698-343.157</f>
        <v>491.541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>
        <v>112.35</v>
      </c>
      <c r="P33" s="106"/>
      <c r="Q33" s="106"/>
      <c r="R33" s="106"/>
      <c r="S33" s="106"/>
      <c r="T33" s="114"/>
      <c r="U33" s="106"/>
      <c r="V33" s="106"/>
      <c r="W33" s="106"/>
      <c r="X33" s="106"/>
      <c r="Y33" s="106"/>
      <c r="Z33" s="106"/>
      <c r="AA33" s="106">
        <f>SUM(D33:Z33)</f>
        <v>112.35</v>
      </c>
      <c r="AB33" s="104">
        <f t="shared" si="4"/>
        <v>-379.19100000000003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42">
      <c r="B34" s="105" t="s">
        <v>40</v>
      </c>
      <c r="C34" s="106">
        <v>343.157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14"/>
      <c r="U34" s="106"/>
      <c r="V34" s="106"/>
      <c r="W34" s="106"/>
      <c r="X34" s="106"/>
      <c r="Y34" s="106"/>
      <c r="Z34" s="106"/>
      <c r="AA34" s="106"/>
      <c r="AB34" s="104">
        <f t="shared" si="4"/>
        <v>-343.157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42">
      <c r="B35" s="105" t="s">
        <v>41</v>
      </c>
      <c r="C35" s="106">
        <v>53.24872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>
        <f>SUM(D35:Z35)</f>
        <v>0</v>
      </c>
      <c r="AB35" s="104">
        <f t="shared" si="4"/>
        <v>-53.24872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">
      <c r="B36" s="105" t="s">
        <v>42</v>
      </c>
      <c r="C36" s="106">
        <f>SUM(C37:C41)</f>
        <v>620.8817899999998</v>
      </c>
      <c r="D36" s="106">
        <f>SUM(D37:D41)</f>
        <v>0</v>
      </c>
      <c r="E36" s="106">
        <f>SUM(E37:E41)</f>
        <v>0</v>
      </c>
      <c r="F36" s="106">
        <f>SUM(F37:F41)</f>
        <v>18.477</v>
      </c>
      <c r="G36" s="106">
        <f aca="true" t="shared" si="8" ref="G36:S36">SUM(G37:G41)</f>
        <v>0</v>
      </c>
      <c r="H36" s="106">
        <f t="shared" si="8"/>
        <v>0</v>
      </c>
      <c r="I36" s="106">
        <f t="shared" si="8"/>
        <v>0</v>
      </c>
      <c r="J36" s="106">
        <f t="shared" si="8"/>
        <v>0</v>
      </c>
      <c r="K36" s="106">
        <f t="shared" si="8"/>
        <v>0</v>
      </c>
      <c r="L36" s="106">
        <f t="shared" si="8"/>
        <v>171.23819</v>
      </c>
      <c r="M36" s="106">
        <f t="shared" si="8"/>
        <v>0</v>
      </c>
      <c r="N36" s="106">
        <f t="shared" si="8"/>
        <v>0</v>
      </c>
      <c r="O36" s="106">
        <f t="shared" si="8"/>
        <v>4.019</v>
      </c>
      <c r="P36" s="106">
        <f t="shared" si="8"/>
        <v>0</v>
      </c>
      <c r="Q36" s="106">
        <f t="shared" si="8"/>
        <v>0</v>
      </c>
      <c r="R36" s="106">
        <f t="shared" si="8"/>
        <v>0</v>
      </c>
      <c r="S36" s="106">
        <f t="shared" si="8"/>
        <v>321.257</v>
      </c>
      <c r="T36" s="106">
        <f>SUM(T37:T41)</f>
        <v>0.12</v>
      </c>
      <c r="U36" s="106">
        <f>SUM(U37:U41)</f>
        <v>3.3</v>
      </c>
      <c r="V36" s="106">
        <f aca="true" t="shared" si="9" ref="V36:AA36">SUM(V37:V41)</f>
        <v>0</v>
      </c>
      <c r="W36" s="106">
        <f t="shared" si="9"/>
        <v>0</v>
      </c>
      <c r="X36" s="106">
        <f t="shared" si="9"/>
        <v>0</v>
      </c>
      <c r="Y36" s="106">
        <f t="shared" si="9"/>
        <v>0</v>
      </c>
      <c r="Z36" s="106">
        <f>SUM(Z37:Z41)</f>
        <v>0</v>
      </c>
      <c r="AA36" s="106">
        <f t="shared" si="9"/>
        <v>518.41119</v>
      </c>
      <c r="AB36" s="104">
        <f t="shared" si="4"/>
        <v>-102.47059999999976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">
      <c r="B37" s="107" t="s">
        <v>20</v>
      </c>
      <c r="C37" s="108">
        <v>525.79896</v>
      </c>
      <c r="D37" s="81"/>
      <c r="E37" s="81"/>
      <c r="F37" s="81">
        <v>10.683</v>
      </c>
      <c r="G37" s="81"/>
      <c r="H37" s="81"/>
      <c r="I37" s="81"/>
      <c r="J37" s="86"/>
      <c r="K37" s="81"/>
      <c r="L37" s="81">
        <v>167.07936</v>
      </c>
      <c r="M37" s="81"/>
      <c r="N37" s="81"/>
      <c r="O37" s="81"/>
      <c r="P37" s="110"/>
      <c r="Q37" s="81"/>
      <c r="R37" s="110"/>
      <c r="S37" s="81">
        <v>321.089</v>
      </c>
      <c r="T37" s="81"/>
      <c r="U37" s="81"/>
      <c r="V37" s="86"/>
      <c r="W37" s="86"/>
      <c r="X37" s="81"/>
      <c r="Y37" s="81"/>
      <c r="Z37" s="81"/>
      <c r="AA37" s="81">
        <f>SUM(D37:Z37)</f>
        <v>498.85136</v>
      </c>
      <c r="AB37" s="104">
        <f t="shared" si="4"/>
        <v>-26.947599999999966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">
      <c r="B38" s="107" t="s">
        <v>29</v>
      </c>
      <c r="C38" s="108">
        <v>2.4182</v>
      </c>
      <c r="D38" s="81"/>
      <c r="E38" s="81"/>
      <c r="F38" s="81">
        <v>1.794</v>
      </c>
      <c r="G38" s="81"/>
      <c r="H38" s="81"/>
      <c r="I38" s="81"/>
      <c r="J38" s="86"/>
      <c r="K38" s="81"/>
      <c r="L38" s="81"/>
      <c r="M38" s="81"/>
      <c r="N38" s="81"/>
      <c r="O38" s="81"/>
      <c r="P38" s="110"/>
      <c r="Q38" s="81"/>
      <c r="R38" s="110"/>
      <c r="S38" s="81"/>
      <c r="T38" s="81"/>
      <c r="U38" s="81"/>
      <c r="V38" s="86"/>
      <c r="W38" s="86"/>
      <c r="X38" s="81"/>
      <c r="Y38" s="81"/>
      <c r="Z38" s="81"/>
      <c r="AA38" s="81">
        <f>SUM(D38:Z38)</f>
        <v>1.794</v>
      </c>
      <c r="AB38" s="104">
        <f t="shared" si="4"/>
        <v>-0.6242000000000001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">
      <c r="B39" s="107" t="s">
        <v>31</v>
      </c>
      <c r="C39" s="108">
        <v>3.3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10"/>
      <c r="Q39" s="81"/>
      <c r="R39" s="110"/>
      <c r="S39" s="81"/>
      <c r="T39" s="81"/>
      <c r="U39" s="81">
        <v>3.3</v>
      </c>
      <c r="V39" s="86"/>
      <c r="W39" s="86"/>
      <c r="X39" s="81"/>
      <c r="Y39" s="81"/>
      <c r="Z39" s="81"/>
      <c r="AA39" s="81">
        <f>SUM(D39:Z39)</f>
        <v>3.3</v>
      </c>
      <c r="AB39" s="104">
        <f t="shared" si="4"/>
        <v>0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">
      <c r="B40" s="107" t="s">
        <v>22</v>
      </c>
      <c r="C40" s="108">
        <v>14.98768</v>
      </c>
      <c r="D40" s="81"/>
      <c r="E40" s="81"/>
      <c r="F40" s="81">
        <v>1.223</v>
      </c>
      <c r="G40" s="81"/>
      <c r="H40" s="81"/>
      <c r="I40" s="81"/>
      <c r="J40" s="81"/>
      <c r="K40" s="81"/>
      <c r="L40" s="81"/>
      <c r="M40" s="81"/>
      <c r="N40" s="81"/>
      <c r="O40" s="81">
        <v>3.689</v>
      </c>
      <c r="P40" s="110"/>
      <c r="Q40" s="81"/>
      <c r="R40" s="110"/>
      <c r="S40" s="81">
        <v>0.168</v>
      </c>
      <c r="T40" s="81"/>
      <c r="U40" s="81"/>
      <c r="V40" s="86"/>
      <c r="W40" s="86"/>
      <c r="X40" s="81"/>
      <c r="Y40" s="81"/>
      <c r="Z40" s="81"/>
      <c r="AA40" s="81">
        <f>SUM(D40:Z40)</f>
        <v>5.08</v>
      </c>
      <c r="AB40" s="104">
        <f t="shared" si="4"/>
        <v>-9.90768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">
      <c r="B41" s="107" t="s">
        <v>24</v>
      </c>
      <c r="C41" s="108">
        <v>74.37695</v>
      </c>
      <c r="D41" s="81"/>
      <c r="E41" s="81"/>
      <c r="F41" s="81">
        <v>4.777</v>
      </c>
      <c r="G41" s="81"/>
      <c r="H41" s="81"/>
      <c r="I41" s="81"/>
      <c r="J41" s="81"/>
      <c r="K41" s="81"/>
      <c r="L41" s="81">
        <v>4.15883</v>
      </c>
      <c r="M41" s="81"/>
      <c r="N41" s="81"/>
      <c r="O41" s="81">
        <v>0.33</v>
      </c>
      <c r="P41" s="81"/>
      <c r="Q41" s="81"/>
      <c r="R41" s="81"/>
      <c r="S41" s="81"/>
      <c r="T41" s="81">
        <v>0.12</v>
      </c>
      <c r="U41" s="81"/>
      <c r="V41" s="81"/>
      <c r="W41" s="81"/>
      <c r="X41" s="81"/>
      <c r="Y41" s="81"/>
      <c r="Z41" s="81"/>
      <c r="AA41" s="81">
        <f>SUM(D41:Z41)</f>
        <v>9.385829999999999</v>
      </c>
      <c r="AB41" s="104">
        <f t="shared" si="4"/>
        <v>-64.99112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">
      <c r="B42" s="105" t="s">
        <v>43</v>
      </c>
      <c r="C42" s="106">
        <f aca="true" t="shared" si="10" ref="C42:S42">SUM(C43:C45)</f>
        <v>218.0367</v>
      </c>
      <c r="D42" s="106">
        <f t="shared" si="10"/>
        <v>0</v>
      </c>
      <c r="E42" s="106">
        <f t="shared" si="10"/>
        <v>0</v>
      </c>
      <c r="F42" s="106">
        <f t="shared" si="10"/>
        <v>0</v>
      </c>
      <c r="G42" s="106">
        <f t="shared" si="10"/>
        <v>0</v>
      </c>
      <c r="H42" s="106">
        <f t="shared" si="10"/>
        <v>0</v>
      </c>
      <c r="I42" s="106">
        <f t="shared" si="10"/>
        <v>0</v>
      </c>
      <c r="J42" s="106">
        <f t="shared" si="10"/>
        <v>0</v>
      </c>
      <c r="K42" s="106">
        <f t="shared" si="10"/>
        <v>10.24823</v>
      </c>
      <c r="L42" s="106">
        <f t="shared" si="10"/>
        <v>0</v>
      </c>
      <c r="M42" s="106">
        <f t="shared" si="10"/>
        <v>0</v>
      </c>
      <c r="N42" s="106">
        <f t="shared" si="10"/>
        <v>0</v>
      </c>
      <c r="O42" s="106">
        <f t="shared" si="10"/>
        <v>1.827</v>
      </c>
      <c r="P42" s="106">
        <f t="shared" si="10"/>
        <v>0</v>
      </c>
      <c r="Q42" s="106">
        <f t="shared" si="10"/>
        <v>0</v>
      </c>
      <c r="R42" s="106">
        <f t="shared" si="10"/>
        <v>0</v>
      </c>
      <c r="S42" s="106">
        <f t="shared" si="10"/>
        <v>0</v>
      </c>
      <c r="T42" s="106">
        <f>SUM(T43:T45)</f>
        <v>15.808</v>
      </c>
      <c r="U42" s="106">
        <f>SUM(U43:U45)</f>
        <v>0</v>
      </c>
      <c r="V42" s="106">
        <f aca="true" t="shared" si="11" ref="V42:AA42">SUM(V43:V45)</f>
        <v>0</v>
      </c>
      <c r="W42" s="106">
        <f t="shared" si="11"/>
        <v>0</v>
      </c>
      <c r="X42" s="106">
        <f t="shared" si="11"/>
        <v>0</v>
      </c>
      <c r="Y42" s="106">
        <f t="shared" si="11"/>
        <v>0</v>
      </c>
      <c r="Z42" s="106">
        <f>SUM(Z43:Z45)</f>
        <v>0</v>
      </c>
      <c r="AA42" s="106">
        <f t="shared" si="11"/>
        <v>27.88323</v>
      </c>
      <c r="AB42" s="104">
        <f t="shared" si="4"/>
        <v>-190.15347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">
      <c r="B43" s="107" t="s">
        <v>20</v>
      </c>
      <c r="C43" s="108">
        <v>195.80999</v>
      </c>
      <c r="D43" s="81"/>
      <c r="E43" s="81"/>
      <c r="F43" s="81"/>
      <c r="G43" s="81"/>
      <c r="H43" s="81"/>
      <c r="I43" s="81"/>
      <c r="J43" s="86"/>
      <c r="K43" s="81">
        <v>8.48</v>
      </c>
      <c r="L43" s="81"/>
      <c r="M43" s="81"/>
      <c r="N43" s="81"/>
      <c r="O43" s="81"/>
      <c r="P43" s="110"/>
      <c r="Q43" s="81"/>
      <c r="R43" s="110"/>
      <c r="S43" s="81"/>
      <c r="T43" s="81">
        <f>14.648+1.16</f>
        <v>15.808</v>
      </c>
      <c r="U43" s="81"/>
      <c r="V43" s="86"/>
      <c r="W43" s="86"/>
      <c r="X43" s="81"/>
      <c r="Y43" s="81"/>
      <c r="Z43" s="81"/>
      <c r="AA43" s="81">
        <f>SUM(D43:Z43)</f>
        <v>24.288</v>
      </c>
      <c r="AB43" s="104">
        <f t="shared" si="4"/>
        <v>-171.52199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">
      <c r="B44" s="107" t="s">
        <v>22</v>
      </c>
      <c r="C44" s="108">
        <v>12.94128</v>
      </c>
      <c r="D44" s="81"/>
      <c r="E44" s="81"/>
      <c r="F44" s="81"/>
      <c r="G44" s="81"/>
      <c r="H44" s="81"/>
      <c r="I44" s="81"/>
      <c r="J44" s="86"/>
      <c r="K44" s="81"/>
      <c r="L44" s="81"/>
      <c r="M44" s="81"/>
      <c r="N44" s="81"/>
      <c r="O44" s="81">
        <v>1.097</v>
      </c>
      <c r="P44" s="81"/>
      <c r="Q44" s="81"/>
      <c r="R44" s="81"/>
      <c r="S44" s="81"/>
      <c r="T44" s="81"/>
      <c r="U44" s="81"/>
      <c r="V44" s="86"/>
      <c r="W44" s="86"/>
      <c r="X44" s="81"/>
      <c r="Y44" s="81"/>
      <c r="Z44" s="81"/>
      <c r="AA44" s="81">
        <f>SUM(D44:Z44)</f>
        <v>1.097</v>
      </c>
      <c r="AB44" s="104">
        <f t="shared" si="4"/>
        <v>-11.844280000000001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">
      <c r="B45" s="107" t="s">
        <v>24</v>
      </c>
      <c r="C45" s="108">
        <v>9.28543</v>
      </c>
      <c r="D45" s="81"/>
      <c r="E45" s="81"/>
      <c r="F45" s="81"/>
      <c r="G45" s="81"/>
      <c r="H45" s="81"/>
      <c r="I45" s="81"/>
      <c r="J45" s="81"/>
      <c r="K45" s="81">
        <v>1.76823</v>
      </c>
      <c r="L45" s="81"/>
      <c r="M45" s="81"/>
      <c r="N45" s="81"/>
      <c r="O45" s="81">
        <v>0.73</v>
      </c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>
        <f>SUM(D45:Z45)</f>
        <v>2.49823</v>
      </c>
      <c r="AB45" s="104">
        <f t="shared" si="4"/>
        <v>-6.7872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">
      <c r="B46" s="105" t="s">
        <v>44</v>
      </c>
      <c r="C46" s="106">
        <f aca="true" t="shared" si="12" ref="C46:Y46">SUM(C47:C49)</f>
        <v>299.89327</v>
      </c>
      <c r="D46" s="106">
        <f t="shared" si="12"/>
        <v>0</v>
      </c>
      <c r="E46" s="106">
        <f t="shared" si="12"/>
        <v>0</v>
      </c>
      <c r="F46" s="106">
        <f t="shared" si="12"/>
        <v>0</v>
      </c>
      <c r="G46" s="106">
        <f t="shared" si="12"/>
        <v>0</v>
      </c>
      <c r="H46" s="106">
        <f t="shared" si="12"/>
        <v>0</v>
      </c>
      <c r="I46" s="106">
        <f t="shared" si="12"/>
        <v>33.75137</v>
      </c>
      <c r="J46" s="106">
        <f t="shared" si="12"/>
        <v>0</v>
      </c>
      <c r="K46" s="106">
        <f t="shared" si="12"/>
        <v>0</v>
      </c>
      <c r="L46" s="106">
        <f t="shared" si="12"/>
        <v>0</v>
      </c>
      <c r="M46" s="106">
        <f t="shared" si="12"/>
        <v>0</v>
      </c>
      <c r="N46" s="106">
        <f t="shared" si="12"/>
        <v>0</v>
      </c>
      <c r="O46" s="106">
        <f t="shared" si="12"/>
        <v>0</v>
      </c>
      <c r="P46" s="106">
        <f t="shared" si="12"/>
        <v>0</v>
      </c>
      <c r="Q46" s="106">
        <f t="shared" si="12"/>
        <v>0</v>
      </c>
      <c r="R46" s="106">
        <f t="shared" si="12"/>
        <v>0</v>
      </c>
      <c r="S46" s="106">
        <f t="shared" si="12"/>
        <v>31.869</v>
      </c>
      <c r="T46" s="106">
        <f>SUM(T47:T49)</f>
        <v>10</v>
      </c>
      <c r="U46" s="106">
        <f t="shared" si="12"/>
        <v>0</v>
      </c>
      <c r="V46" s="106">
        <f t="shared" si="12"/>
        <v>0</v>
      </c>
      <c r="W46" s="106">
        <f t="shared" si="12"/>
        <v>0</v>
      </c>
      <c r="X46" s="106">
        <f t="shared" si="12"/>
        <v>0</v>
      </c>
      <c r="Y46" s="106">
        <f t="shared" si="12"/>
        <v>0</v>
      </c>
      <c r="Z46" s="106">
        <f>SUM(Z47:Z49)</f>
        <v>0</v>
      </c>
      <c r="AA46" s="106">
        <f>SUM(D46:Y46)</f>
        <v>75.62037000000001</v>
      </c>
      <c r="AB46" s="104">
        <f t="shared" si="4"/>
        <v>-224.27289999999996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">
      <c r="B47" s="107" t="s">
        <v>20</v>
      </c>
      <c r="C47" s="108">
        <v>282.03938</v>
      </c>
      <c r="D47" s="81"/>
      <c r="E47" s="81"/>
      <c r="F47" s="81"/>
      <c r="G47" s="81"/>
      <c r="H47" s="81"/>
      <c r="I47" s="81">
        <v>33.75137</v>
      </c>
      <c r="J47" s="86"/>
      <c r="K47" s="81"/>
      <c r="L47" s="81"/>
      <c r="M47" s="81"/>
      <c r="N47" s="81"/>
      <c r="O47" s="81"/>
      <c r="P47" s="81"/>
      <c r="Q47" s="81"/>
      <c r="R47" s="110"/>
      <c r="S47" s="81">
        <v>31.869</v>
      </c>
      <c r="T47" s="81"/>
      <c r="U47" s="81"/>
      <c r="V47" s="86"/>
      <c r="W47" s="86"/>
      <c r="X47" s="86"/>
      <c r="Y47" s="86"/>
      <c r="Z47" s="86"/>
      <c r="AA47" s="81">
        <f>SUM(D47:Z47)</f>
        <v>65.62037000000001</v>
      </c>
      <c r="AB47" s="104">
        <f t="shared" si="4"/>
        <v>-216.41901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">
      <c r="B48" s="107" t="s">
        <v>22</v>
      </c>
      <c r="C48" s="108">
        <v>4.00086</v>
      </c>
      <c r="D48" s="81"/>
      <c r="E48" s="81"/>
      <c r="F48" s="81"/>
      <c r="G48" s="81"/>
      <c r="H48" s="81"/>
      <c r="I48" s="81"/>
      <c r="J48" s="86"/>
      <c r="K48" s="81"/>
      <c r="L48" s="81"/>
      <c r="M48" s="81"/>
      <c r="N48" s="81"/>
      <c r="O48" s="81"/>
      <c r="P48" s="110"/>
      <c r="Q48" s="81"/>
      <c r="R48" s="110"/>
      <c r="S48" s="81"/>
      <c r="T48" s="81"/>
      <c r="U48" s="81"/>
      <c r="V48" s="86"/>
      <c r="W48" s="81"/>
      <c r="X48" s="86"/>
      <c r="Y48" s="86"/>
      <c r="Z48" s="86"/>
      <c r="AA48" s="81">
        <f>SUM(D48:Z48)</f>
        <v>0</v>
      </c>
      <c r="AB48" s="104">
        <f t="shared" si="4"/>
        <v>-4.00086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2:40" s="66" customFormat="1" ht="15">
      <c r="B49" s="107" t="s">
        <v>24</v>
      </c>
      <c r="C49" s="108">
        <v>13.85303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>
        <v>10</v>
      </c>
      <c r="U49" s="81"/>
      <c r="V49" s="81"/>
      <c r="W49" s="81"/>
      <c r="X49" s="81"/>
      <c r="Y49" s="81"/>
      <c r="Z49" s="81"/>
      <c r="AA49" s="81">
        <f>SUM(D49:Z49)</f>
        <v>10</v>
      </c>
      <c r="AB49" s="104">
        <f t="shared" si="4"/>
        <v>-3.8530300000000004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1:40" s="66" customFormat="1" ht="15">
      <c r="A50" s="66">
        <v>90501</v>
      </c>
      <c r="B50" s="105" t="s">
        <v>45</v>
      </c>
      <c r="C50" s="106">
        <f>C51+C52</f>
        <v>69.91886</v>
      </c>
      <c r="D50" s="106">
        <f aca="true" t="shared" si="13" ref="D50:Y50">D51+D52</f>
        <v>0</v>
      </c>
      <c r="E50" s="106">
        <f t="shared" si="13"/>
        <v>2.718</v>
      </c>
      <c r="F50" s="106">
        <f t="shared" si="13"/>
        <v>0</v>
      </c>
      <c r="G50" s="106">
        <f t="shared" si="13"/>
        <v>0</v>
      </c>
      <c r="H50" s="106">
        <f t="shared" si="13"/>
        <v>0</v>
      </c>
      <c r="I50" s="106">
        <f t="shared" si="13"/>
        <v>0</v>
      </c>
      <c r="J50" s="106">
        <f t="shared" si="13"/>
        <v>0</v>
      </c>
      <c r="K50" s="106">
        <f t="shared" si="13"/>
        <v>0</v>
      </c>
      <c r="L50" s="106">
        <f t="shared" si="13"/>
        <v>0</v>
      </c>
      <c r="M50" s="106">
        <f t="shared" si="13"/>
        <v>0</v>
      </c>
      <c r="N50" s="106">
        <f t="shared" si="13"/>
        <v>0</v>
      </c>
      <c r="O50" s="106">
        <f t="shared" si="13"/>
        <v>0</v>
      </c>
      <c r="P50" s="106">
        <f t="shared" si="13"/>
        <v>0</v>
      </c>
      <c r="Q50" s="106">
        <f t="shared" si="13"/>
        <v>0</v>
      </c>
      <c r="R50" s="106">
        <f t="shared" si="13"/>
        <v>0</v>
      </c>
      <c r="S50" s="106">
        <f t="shared" si="13"/>
        <v>0</v>
      </c>
      <c r="T50" s="106">
        <f>T51+T52</f>
        <v>0</v>
      </c>
      <c r="U50" s="106">
        <f>U51+U52</f>
        <v>0</v>
      </c>
      <c r="V50" s="106">
        <f t="shared" si="13"/>
        <v>0</v>
      </c>
      <c r="W50" s="106">
        <f t="shared" si="13"/>
        <v>0</v>
      </c>
      <c r="X50" s="106">
        <f t="shared" si="13"/>
        <v>0</v>
      </c>
      <c r="Y50" s="106">
        <f t="shared" si="13"/>
        <v>0</v>
      </c>
      <c r="Z50" s="106">
        <f>Z51+Z52</f>
        <v>0</v>
      </c>
      <c r="AA50" s="106">
        <f>SUM(D50:Y50)</f>
        <v>2.718</v>
      </c>
      <c r="AB50" s="104">
        <f t="shared" si="4"/>
        <v>-67.20085999999999</v>
      </c>
      <c r="AD50" s="72"/>
      <c r="AE50" s="111"/>
      <c r="AF50" s="67"/>
      <c r="AG50" s="68"/>
      <c r="AH50" s="68"/>
      <c r="AI50" s="68"/>
      <c r="AJ50" s="68"/>
      <c r="AK50" s="68"/>
      <c r="AL50" s="68"/>
      <c r="AM50" s="68"/>
      <c r="AN50" s="68"/>
    </row>
    <row r="51" spans="2:40" s="115" customFormat="1" ht="15">
      <c r="B51" s="107" t="s">
        <v>20</v>
      </c>
      <c r="C51" s="113">
        <v>40.61682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0</v>
      </c>
      <c r="AB51" s="104">
        <f aca="true" t="shared" si="14" ref="AB51:AB82">AA51-C51</f>
        <v>-40.61682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2:40" s="115" customFormat="1" ht="15">
      <c r="B52" s="107" t="s">
        <v>35</v>
      </c>
      <c r="C52" s="113">
        <v>29.30204</v>
      </c>
      <c r="D52" s="86"/>
      <c r="E52" s="86">
        <v>2.718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1">
        <f>SUM(D52:Z52)</f>
        <v>2.718</v>
      </c>
      <c r="AB52" s="104">
        <f t="shared" si="14"/>
        <v>-26.58404</v>
      </c>
      <c r="AD52" s="96"/>
      <c r="AE52" s="95"/>
      <c r="AF52" s="116"/>
      <c r="AG52" s="117"/>
      <c r="AH52" s="117"/>
      <c r="AI52" s="117"/>
      <c r="AJ52" s="117"/>
      <c r="AK52" s="117"/>
      <c r="AL52" s="117"/>
      <c r="AM52" s="117"/>
      <c r="AN52" s="117"/>
    </row>
    <row r="53" spans="1:40" s="66" customFormat="1" ht="15">
      <c r="A53" s="66">
        <v>110000</v>
      </c>
      <c r="B53" s="105" t="s">
        <v>46</v>
      </c>
      <c r="C53" s="106">
        <f aca="true" t="shared" si="15" ref="C53:AA53">SUM(C54:C57)</f>
        <v>775.8335999999999</v>
      </c>
      <c r="D53" s="106">
        <f t="shared" si="15"/>
        <v>0</v>
      </c>
      <c r="E53" s="106">
        <f t="shared" si="15"/>
        <v>6.242</v>
      </c>
      <c r="F53" s="106">
        <f t="shared" si="15"/>
        <v>0</v>
      </c>
      <c r="G53" s="106">
        <f t="shared" si="15"/>
        <v>0</v>
      </c>
      <c r="H53" s="106">
        <f t="shared" si="15"/>
        <v>0</v>
      </c>
      <c r="I53" s="106">
        <f t="shared" si="15"/>
        <v>12.18</v>
      </c>
      <c r="J53" s="106">
        <f t="shared" si="15"/>
        <v>0</v>
      </c>
      <c r="K53" s="106">
        <f t="shared" si="15"/>
        <v>0</v>
      </c>
      <c r="L53" s="106">
        <f t="shared" si="15"/>
        <v>0</v>
      </c>
      <c r="M53" s="106">
        <f t="shared" si="15"/>
        <v>118.76308</v>
      </c>
      <c r="N53" s="106">
        <f t="shared" si="15"/>
        <v>0</v>
      </c>
      <c r="O53" s="106">
        <f t="shared" si="15"/>
        <v>0</v>
      </c>
      <c r="P53" s="106">
        <f t="shared" si="15"/>
        <v>2.10518</v>
      </c>
      <c r="Q53" s="106">
        <f t="shared" si="15"/>
        <v>0</v>
      </c>
      <c r="R53" s="106">
        <f t="shared" si="15"/>
        <v>108.584</v>
      </c>
      <c r="S53" s="106">
        <f t="shared" si="15"/>
        <v>121.58399999999999</v>
      </c>
      <c r="T53" s="106">
        <f>SUM(T54:T57)</f>
        <v>0</v>
      </c>
      <c r="U53" s="106">
        <f t="shared" si="15"/>
        <v>0</v>
      </c>
      <c r="V53" s="106">
        <f t="shared" si="15"/>
        <v>0</v>
      </c>
      <c r="W53" s="106">
        <f t="shared" si="15"/>
        <v>0</v>
      </c>
      <c r="X53" s="106">
        <f t="shared" si="15"/>
        <v>0</v>
      </c>
      <c r="Y53" s="106">
        <f t="shared" si="15"/>
        <v>0</v>
      </c>
      <c r="Z53" s="106">
        <f>SUM(Z54:Z57)</f>
        <v>0</v>
      </c>
      <c r="AA53" s="106">
        <f t="shared" si="15"/>
        <v>369.45826</v>
      </c>
      <c r="AB53" s="104">
        <f t="shared" si="14"/>
        <v>-406.37533999999994</v>
      </c>
      <c r="AC53" s="69"/>
      <c r="AD53" s="67"/>
      <c r="AE53" s="67"/>
      <c r="AF53" s="67"/>
      <c r="AG53" s="68"/>
      <c r="AH53" s="68"/>
      <c r="AI53" s="68"/>
      <c r="AJ53" s="68"/>
      <c r="AK53" s="68"/>
      <c r="AL53" s="68"/>
      <c r="AM53" s="68"/>
      <c r="AN53" s="68"/>
    </row>
    <row r="54" spans="2:28" ht="15">
      <c r="B54" s="107" t="s">
        <v>20</v>
      </c>
      <c r="C54" s="108">
        <v>586.12939</v>
      </c>
      <c r="D54" s="81"/>
      <c r="E54" s="81">
        <v>2.704</v>
      </c>
      <c r="F54" s="81"/>
      <c r="G54" s="81"/>
      <c r="H54" s="81"/>
      <c r="I54" s="81">
        <v>12.18</v>
      </c>
      <c r="J54" s="86"/>
      <c r="K54" s="81"/>
      <c r="L54" s="81"/>
      <c r="M54" s="81">
        <v>116.23</v>
      </c>
      <c r="N54" s="81"/>
      <c r="O54" s="81"/>
      <c r="P54" s="110"/>
      <c r="Q54" s="81"/>
      <c r="R54" s="110">
        <v>108.584</v>
      </c>
      <c r="S54" s="81">
        <v>121.481</v>
      </c>
      <c r="T54" s="81"/>
      <c r="U54" s="81"/>
      <c r="V54" s="86"/>
      <c r="W54" s="86"/>
      <c r="X54" s="86"/>
      <c r="Y54" s="81"/>
      <c r="Z54" s="81"/>
      <c r="AA54" s="81">
        <f>SUM(D54:Z54)</f>
        <v>361.179</v>
      </c>
      <c r="AB54" s="104">
        <f t="shared" si="14"/>
        <v>-224.95038999999997</v>
      </c>
    </row>
    <row r="55" spans="2:28" ht="15">
      <c r="B55" s="107" t="s">
        <v>22</v>
      </c>
      <c r="C55" s="108">
        <v>68.2704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>
        <v>2.10518</v>
      </c>
      <c r="Q55" s="81"/>
      <c r="R55" s="110"/>
      <c r="S55" s="81">
        <v>0.103</v>
      </c>
      <c r="T55" s="81"/>
      <c r="U55" s="81"/>
      <c r="V55" s="86"/>
      <c r="W55" s="86"/>
      <c r="X55" s="86"/>
      <c r="Y55" s="81"/>
      <c r="Z55" s="81"/>
      <c r="AA55" s="81">
        <f>SUM(D55:Z55)</f>
        <v>2.20818</v>
      </c>
      <c r="AB55" s="104">
        <f t="shared" si="14"/>
        <v>-66.06222</v>
      </c>
    </row>
    <row r="56" spans="2:28" ht="15">
      <c r="B56" s="107" t="s">
        <v>47</v>
      </c>
      <c r="C56" s="108">
        <v>22.37759</v>
      </c>
      <c r="D56" s="81"/>
      <c r="E56" s="81"/>
      <c r="F56" s="81"/>
      <c r="G56" s="81"/>
      <c r="H56" s="81"/>
      <c r="I56" s="81"/>
      <c r="J56" s="86"/>
      <c r="K56" s="81"/>
      <c r="L56" s="81"/>
      <c r="M56" s="81"/>
      <c r="N56" s="81"/>
      <c r="O56" s="81"/>
      <c r="P56" s="110"/>
      <c r="Q56" s="81"/>
      <c r="R56" s="110"/>
      <c r="S56" s="81"/>
      <c r="T56" s="81"/>
      <c r="U56" s="81"/>
      <c r="V56" s="86"/>
      <c r="W56" s="86"/>
      <c r="X56" s="86"/>
      <c r="Y56" s="81"/>
      <c r="Z56" s="81"/>
      <c r="AA56" s="81">
        <f>SUM(D56:Z56)</f>
        <v>0</v>
      </c>
      <c r="AB56" s="104">
        <f t="shared" si="14"/>
        <v>-22.37759</v>
      </c>
    </row>
    <row r="57" spans="2:29" ht="15">
      <c r="B57" s="107" t="s">
        <v>24</v>
      </c>
      <c r="C57" s="108">
        <v>99.05622</v>
      </c>
      <c r="D57" s="81"/>
      <c r="E57" s="81">
        <v>3.538</v>
      </c>
      <c r="F57" s="81"/>
      <c r="G57" s="81"/>
      <c r="H57" s="81"/>
      <c r="I57" s="81"/>
      <c r="J57" s="81"/>
      <c r="K57" s="81"/>
      <c r="L57" s="81"/>
      <c r="M57" s="81">
        <v>2.53308</v>
      </c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>
        <f>SUM(D57:Z57)</f>
        <v>6.07108</v>
      </c>
      <c r="AB57" s="104">
        <f t="shared" si="14"/>
        <v>-92.98514</v>
      </c>
      <c r="AC57" s="66"/>
    </row>
    <row r="58" spans="1:40" s="66" customFormat="1" ht="15">
      <c r="A58" s="66">
        <v>130000</v>
      </c>
      <c r="B58" s="105" t="s">
        <v>48</v>
      </c>
      <c r="C58" s="106">
        <f>SUM(C59:C63)</f>
        <v>803.6448899999999</v>
      </c>
      <c r="D58" s="106">
        <f aca="true" t="shared" si="16" ref="D58:AA58">SUM(D59:D63)</f>
        <v>0</v>
      </c>
      <c r="E58" s="106">
        <f t="shared" si="16"/>
        <v>0</v>
      </c>
      <c r="F58" s="106">
        <f t="shared" si="16"/>
        <v>0</v>
      </c>
      <c r="G58" s="106">
        <f t="shared" si="16"/>
        <v>0</v>
      </c>
      <c r="H58" s="106">
        <f t="shared" si="16"/>
        <v>6.133</v>
      </c>
      <c r="I58" s="106">
        <f t="shared" si="16"/>
        <v>8.16988</v>
      </c>
      <c r="J58" s="106">
        <f t="shared" si="16"/>
        <v>0</v>
      </c>
      <c r="K58" s="106">
        <f t="shared" si="16"/>
        <v>78.997</v>
      </c>
      <c r="L58" s="106">
        <f t="shared" si="16"/>
        <v>0</v>
      </c>
      <c r="M58" s="106">
        <f t="shared" si="16"/>
        <v>0</v>
      </c>
      <c r="N58" s="106">
        <f t="shared" si="16"/>
        <v>0</v>
      </c>
      <c r="O58" s="106">
        <f t="shared" si="16"/>
        <v>0</v>
      </c>
      <c r="P58" s="106">
        <f t="shared" si="16"/>
        <v>20.35937</v>
      </c>
      <c r="Q58" s="106">
        <f t="shared" si="16"/>
        <v>0</v>
      </c>
      <c r="R58" s="106">
        <f t="shared" si="16"/>
        <v>0</v>
      </c>
      <c r="S58" s="106">
        <f t="shared" si="16"/>
        <v>6.737</v>
      </c>
      <c r="T58" s="106">
        <f>SUM(T59:T63)</f>
        <v>0</v>
      </c>
      <c r="U58" s="106">
        <f>SUM(U59:U63)</f>
        <v>143.09699999999998</v>
      </c>
      <c r="V58" s="106">
        <f t="shared" si="16"/>
        <v>0</v>
      </c>
      <c r="W58" s="106">
        <f t="shared" si="16"/>
        <v>-0.75</v>
      </c>
      <c r="X58" s="106">
        <f t="shared" si="16"/>
        <v>0</v>
      </c>
      <c r="Y58" s="106">
        <f t="shared" si="16"/>
        <v>0</v>
      </c>
      <c r="Z58" s="106">
        <f>SUM(Z59:Z63)</f>
        <v>0</v>
      </c>
      <c r="AA58" s="106">
        <f t="shared" si="16"/>
        <v>262.74325</v>
      </c>
      <c r="AB58" s="104">
        <f t="shared" si="14"/>
        <v>-540.9016399999999</v>
      </c>
      <c r="AC58" s="69"/>
      <c r="AD58" s="67"/>
      <c r="AE58" s="67"/>
      <c r="AF58" s="67"/>
      <c r="AG58" s="68"/>
      <c r="AH58" s="68"/>
      <c r="AI58" s="68"/>
      <c r="AJ58" s="68"/>
      <c r="AK58" s="68"/>
      <c r="AL58" s="68"/>
      <c r="AM58" s="68"/>
      <c r="AN58" s="68"/>
    </row>
    <row r="59" spans="2:28" ht="15">
      <c r="B59" s="107" t="s">
        <v>20</v>
      </c>
      <c r="C59" s="108">
        <v>551.19821</v>
      </c>
      <c r="D59" s="81"/>
      <c r="E59" s="81"/>
      <c r="F59" s="81"/>
      <c r="G59" s="81"/>
      <c r="H59" s="81"/>
      <c r="I59" s="81"/>
      <c r="J59" s="110"/>
      <c r="K59" s="81">
        <v>78.997</v>
      </c>
      <c r="L59" s="81"/>
      <c r="M59" s="81"/>
      <c r="N59" s="81"/>
      <c r="O59" s="81"/>
      <c r="P59" s="110"/>
      <c r="Q59" s="81"/>
      <c r="R59" s="110"/>
      <c r="S59" s="81"/>
      <c r="T59" s="81"/>
      <c r="U59" s="81">
        <v>133.003</v>
      </c>
      <c r="V59" s="86"/>
      <c r="W59" s="86"/>
      <c r="X59" s="81"/>
      <c r="Y59" s="81"/>
      <c r="Z59" s="81"/>
      <c r="AA59" s="81">
        <f>SUM(D59:Z59)</f>
        <v>212</v>
      </c>
      <c r="AB59" s="104">
        <f t="shared" si="14"/>
        <v>-339.19821</v>
      </c>
    </row>
    <row r="60" spans="2:28" ht="15">
      <c r="B60" s="107" t="s">
        <v>29</v>
      </c>
      <c r="C60" s="108">
        <v>0.00051</v>
      </c>
      <c r="D60" s="81"/>
      <c r="E60" s="81"/>
      <c r="F60" s="81"/>
      <c r="G60" s="81"/>
      <c r="H60" s="81"/>
      <c r="I60" s="81"/>
      <c r="J60" s="110"/>
      <c r="K60" s="81"/>
      <c r="L60" s="81"/>
      <c r="M60" s="81"/>
      <c r="N60" s="81"/>
      <c r="O60" s="81"/>
      <c r="P60" s="110"/>
      <c r="Q60" s="81"/>
      <c r="R60" s="110"/>
      <c r="S60" s="81"/>
      <c r="T60" s="81"/>
      <c r="U60" s="81"/>
      <c r="V60" s="86"/>
      <c r="W60" s="86"/>
      <c r="X60" s="81"/>
      <c r="Y60" s="81"/>
      <c r="Z60" s="81"/>
      <c r="AA60" s="81">
        <f>SUM(D60:Z60)</f>
        <v>0</v>
      </c>
      <c r="AB60" s="104">
        <f t="shared" si="14"/>
        <v>-0.00051</v>
      </c>
    </row>
    <row r="61" spans="2:28" ht="15">
      <c r="B61" s="107" t="s">
        <v>22</v>
      </c>
      <c r="C61" s="108">
        <v>37.83786</v>
      </c>
      <c r="D61" s="81"/>
      <c r="E61" s="81"/>
      <c r="F61" s="81"/>
      <c r="G61" s="81"/>
      <c r="H61" s="81"/>
      <c r="I61" s="81"/>
      <c r="J61" s="86"/>
      <c r="K61" s="81"/>
      <c r="L61" s="81"/>
      <c r="M61" s="81"/>
      <c r="N61" s="81"/>
      <c r="O61" s="81"/>
      <c r="P61" s="110">
        <v>6.12293</v>
      </c>
      <c r="Q61" s="81"/>
      <c r="R61" s="81"/>
      <c r="S61" s="81"/>
      <c r="T61" s="81"/>
      <c r="U61" s="81">
        <v>0.489</v>
      </c>
      <c r="V61" s="86"/>
      <c r="W61" s="86"/>
      <c r="X61" s="81"/>
      <c r="Y61" s="81"/>
      <c r="Z61" s="81"/>
      <c r="AA61" s="81">
        <f>SUM(D61:Z61)</f>
        <v>6.61193</v>
      </c>
      <c r="AB61" s="104">
        <f t="shared" si="14"/>
        <v>-31.225929999999998</v>
      </c>
    </row>
    <row r="62" spans="2:28" ht="15">
      <c r="B62" s="107" t="s">
        <v>35</v>
      </c>
      <c r="C62" s="108">
        <v>80.50599</v>
      </c>
      <c r="D62" s="81"/>
      <c r="E62" s="81"/>
      <c r="F62" s="81"/>
      <c r="G62" s="81"/>
      <c r="H62" s="81">
        <v>6.133</v>
      </c>
      <c r="I62" s="81"/>
      <c r="J62" s="86"/>
      <c r="K62" s="81"/>
      <c r="L62" s="81"/>
      <c r="M62" s="81"/>
      <c r="N62" s="81"/>
      <c r="O62" s="81"/>
      <c r="P62" s="81"/>
      <c r="Q62" s="81"/>
      <c r="R62" s="81"/>
      <c r="S62" s="81">
        <v>6.737</v>
      </c>
      <c r="T62" s="81"/>
      <c r="U62" s="81"/>
      <c r="V62" s="86"/>
      <c r="W62" s="81"/>
      <c r="X62" s="86"/>
      <c r="Y62" s="86"/>
      <c r="Z62" s="86"/>
      <c r="AA62" s="81">
        <f>SUM(D62:Z62)</f>
        <v>12.870000000000001</v>
      </c>
      <c r="AB62" s="104">
        <f t="shared" si="14"/>
        <v>-67.63598999999999</v>
      </c>
    </row>
    <row r="63" spans="2:28" ht="15">
      <c r="B63" s="107" t="s">
        <v>24</v>
      </c>
      <c r="C63" s="108">
        <v>134.10232</v>
      </c>
      <c r="D63" s="81"/>
      <c r="E63" s="81"/>
      <c r="F63" s="81"/>
      <c r="G63" s="81"/>
      <c r="H63" s="81"/>
      <c r="I63" s="81">
        <v>8.16988</v>
      </c>
      <c r="J63" s="81"/>
      <c r="K63" s="81"/>
      <c r="L63" s="81"/>
      <c r="M63" s="81"/>
      <c r="N63" s="81"/>
      <c r="O63" s="81"/>
      <c r="P63" s="81">
        <v>14.23644</v>
      </c>
      <c r="Q63" s="81"/>
      <c r="R63" s="81"/>
      <c r="S63" s="81"/>
      <c r="T63" s="81"/>
      <c r="U63" s="81">
        <v>9.605</v>
      </c>
      <c r="V63" s="81"/>
      <c r="W63" s="81">
        <v>-0.75</v>
      </c>
      <c r="X63" s="81"/>
      <c r="Y63" s="81"/>
      <c r="Z63" s="81"/>
      <c r="AA63" s="81">
        <f>SUM(D63:Z63)</f>
        <v>31.261319999999998</v>
      </c>
      <c r="AB63" s="104">
        <f t="shared" si="14"/>
        <v>-102.841</v>
      </c>
    </row>
    <row r="64" spans="2:28" ht="15">
      <c r="B64" s="105" t="s">
        <v>50</v>
      </c>
      <c r="C64" s="106">
        <f>C65+C66</f>
        <v>3717.33416</v>
      </c>
      <c r="D64" s="106">
        <f aca="true" t="shared" si="17" ref="D64:AA64">D65+D66</f>
        <v>0</v>
      </c>
      <c r="E64" s="106">
        <f t="shared" si="17"/>
        <v>0</v>
      </c>
      <c r="F64" s="106">
        <f t="shared" si="17"/>
        <v>93.137</v>
      </c>
      <c r="G64" s="106">
        <f t="shared" si="17"/>
        <v>880.415</v>
      </c>
      <c r="H64" s="106">
        <f t="shared" si="17"/>
        <v>145.64600000000002</v>
      </c>
      <c r="I64" s="106">
        <f t="shared" si="17"/>
        <v>66.79145</v>
      </c>
      <c r="J64" s="106">
        <f t="shared" si="17"/>
        <v>176.791</v>
      </c>
      <c r="K64" s="106">
        <f t="shared" si="17"/>
        <v>87.5585</v>
      </c>
      <c r="L64" s="106">
        <f t="shared" si="17"/>
        <v>154.75776</v>
      </c>
      <c r="M64" s="106">
        <f t="shared" si="17"/>
        <v>0</v>
      </c>
      <c r="N64" s="106">
        <f t="shared" si="17"/>
        <v>45.289</v>
      </c>
      <c r="O64" s="106">
        <f t="shared" si="17"/>
        <v>72.281</v>
      </c>
      <c r="P64" s="106">
        <f t="shared" si="17"/>
        <v>553.96547</v>
      </c>
      <c r="Q64" s="106">
        <f t="shared" si="17"/>
        <v>12.70334</v>
      </c>
      <c r="R64" s="106">
        <f t="shared" si="17"/>
        <v>0</v>
      </c>
      <c r="S64" s="106">
        <f t="shared" si="17"/>
        <v>2.396</v>
      </c>
      <c r="T64" s="106">
        <f>T65+T66</f>
        <v>0</v>
      </c>
      <c r="U64" s="106">
        <f t="shared" si="17"/>
        <v>8.075</v>
      </c>
      <c r="V64" s="106">
        <f t="shared" si="17"/>
        <v>0</v>
      </c>
      <c r="W64" s="106">
        <f t="shared" si="17"/>
        <v>0</v>
      </c>
      <c r="X64" s="106">
        <f t="shared" si="17"/>
        <v>0</v>
      </c>
      <c r="Y64" s="106">
        <f t="shared" si="17"/>
        <v>0</v>
      </c>
      <c r="Z64" s="106">
        <f>Z65+Z66</f>
        <v>0</v>
      </c>
      <c r="AA64" s="106">
        <f t="shared" si="17"/>
        <v>2299.80652</v>
      </c>
      <c r="AB64" s="104">
        <f t="shared" si="14"/>
        <v>-1417.5276399999998</v>
      </c>
    </row>
    <row r="65" spans="2:28" ht="15">
      <c r="B65" s="118" t="s">
        <v>51</v>
      </c>
      <c r="C65" s="113">
        <v>529.40279</v>
      </c>
      <c r="D65" s="86"/>
      <c r="E65" s="86"/>
      <c r="F65" s="86">
        <v>18.761</v>
      </c>
      <c r="G65" s="86"/>
      <c r="H65" s="86">
        <v>66.902</v>
      </c>
      <c r="I65" s="86"/>
      <c r="J65" s="86">
        <v>32.987</v>
      </c>
      <c r="K65" s="86">
        <v>84.198</v>
      </c>
      <c r="L65" s="86"/>
      <c r="M65" s="86"/>
      <c r="N65" s="86">
        <v>45.289</v>
      </c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>
        <f>SUM(D65:Z65)</f>
        <v>248.137</v>
      </c>
      <c r="AB65" s="104">
        <f t="shared" si="14"/>
        <v>-281.26579</v>
      </c>
    </row>
    <row r="66" spans="2:28" ht="15">
      <c r="B66" s="118" t="s">
        <v>35</v>
      </c>
      <c r="C66" s="113">
        <v>3187.93137</v>
      </c>
      <c r="D66" s="86"/>
      <c r="E66" s="86"/>
      <c r="F66" s="86">
        <v>74.376</v>
      </c>
      <c r="G66" s="86">
        <v>880.415</v>
      </c>
      <c r="H66" s="86">
        <v>78.744</v>
      </c>
      <c r="I66" s="86">
        <v>66.79145</v>
      </c>
      <c r="J66" s="86">
        <v>143.804</v>
      </c>
      <c r="K66" s="86">
        <v>3.3605</v>
      </c>
      <c r="L66" s="86">
        <v>154.75776</v>
      </c>
      <c r="M66" s="86"/>
      <c r="N66" s="86"/>
      <c r="O66" s="86">
        <v>72.281</v>
      </c>
      <c r="P66" s="86">
        <v>553.96547</v>
      </c>
      <c r="Q66" s="86">
        <v>12.70334</v>
      </c>
      <c r="R66" s="86"/>
      <c r="S66" s="86">
        <v>2.396</v>
      </c>
      <c r="T66" s="86"/>
      <c r="U66" s="86">
        <v>8.075</v>
      </c>
      <c r="V66" s="86"/>
      <c r="W66" s="86"/>
      <c r="X66" s="86"/>
      <c r="Y66" s="86"/>
      <c r="Z66" s="86"/>
      <c r="AA66" s="86">
        <f>SUM(D66:Z66)</f>
        <v>2051.66952</v>
      </c>
      <c r="AB66" s="104">
        <f t="shared" si="14"/>
        <v>-1136.2618499999999</v>
      </c>
    </row>
    <row r="67" spans="2:28" ht="15">
      <c r="B67" s="105" t="s">
        <v>52</v>
      </c>
      <c r="C67" s="106">
        <f>C68+C69</f>
        <v>38.94727</v>
      </c>
      <c r="D67" s="106">
        <f aca="true" t="shared" si="18" ref="D67:AA67">D68+D69</f>
        <v>0</v>
      </c>
      <c r="E67" s="106">
        <f t="shared" si="18"/>
        <v>0</v>
      </c>
      <c r="F67" s="106">
        <f t="shared" si="18"/>
        <v>0</v>
      </c>
      <c r="G67" s="106">
        <f t="shared" si="18"/>
        <v>0</v>
      </c>
      <c r="H67" s="106">
        <f t="shared" si="18"/>
        <v>0</v>
      </c>
      <c r="I67" s="106">
        <f t="shared" si="18"/>
        <v>0</v>
      </c>
      <c r="J67" s="106">
        <f t="shared" si="18"/>
        <v>0</v>
      </c>
      <c r="K67" s="106">
        <f t="shared" si="18"/>
        <v>8.243</v>
      </c>
      <c r="L67" s="106">
        <f t="shared" si="18"/>
        <v>0</v>
      </c>
      <c r="M67" s="106">
        <f t="shared" si="18"/>
        <v>0</v>
      </c>
      <c r="N67" s="106">
        <f t="shared" si="18"/>
        <v>0</v>
      </c>
      <c r="O67" s="106">
        <f t="shared" si="18"/>
        <v>0</v>
      </c>
      <c r="P67" s="106">
        <f t="shared" si="18"/>
        <v>0</v>
      </c>
      <c r="Q67" s="106">
        <f t="shared" si="18"/>
        <v>0</v>
      </c>
      <c r="R67" s="106">
        <f t="shared" si="18"/>
        <v>0</v>
      </c>
      <c r="S67" s="106">
        <f t="shared" si="18"/>
        <v>0</v>
      </c>
      <c r="T67" s="106">
        <f t="shared" si="18"/>
        <v>0</v>
      </c>
      <c r="U67" s="106">
        <f t="shared" si="18"/>
        <v>0</v>
      </c>
      <c r="V67" s="106">
        <f t="shared" si="18"/>
        <v>0</v>
      </c>
      <c r="W67" s="106">
        <f t="shared" si="18"/>
        <v>0</v>
      </c>
      <c r="X67" s="106">
        <f t="shared" si="18"/>
        <v>0</v>
      </c>
      <c r="Y67" s="106">
        <f t="shared" si="18"/>
        <v>0</v>
      </c>
      <c r="Z67" s="106">
        <f t="shared" si="18"/>
        <v>0</v>
      </c>
      <c r="AA67" s="106">
        <f t="shared" si="18"/>
        <v>8.243</v>
      </c>
      <c r="AB67" s="104">
        <f t="shared" si="14"/>
        <v>-30.70427</v>
      </c>
    </row>
    <row r="68" spans="2:28" ht="15">
      <c r="B68" s="107" t="s">
        <v>22</v>
      </c>
      <c r="C68" s="113">
        <v>14.50027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0</v>
      </c>
      <c r="AB68" s="104">
        <f t="shared" si="14"/>
        <v>-14.50027</v>
      </c>
    </row>
    <row r="69" spans="2:28" ht="15">
      <c r="B69" s="107" t="s">
        <v>35</v>
      </c>
      <c r="C69" s="113">
        <v>24.447</v>
      </c>
      <c r="D69" s="86"/>
      <c r="E69" s="86"/>
      <c r="F69" s="86"/>
      <c r="G69" s="86"/>
      <c r="H69" s="86"/>
      <c r="I69" s="86"/>
      <c r="J69" s="86"/>
      <c r="K69" s="86">
        <v>8.243</v>
      </c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>
        <f>SUM(D69:Z69)</f>
        <v>8.243</v>
      </c>
      <c r="AB69" s="104">
        <f t="shared" si="14"/>
        <v>-16.204</v>
      </c>
    </row>
    <row r="70" spans="2:28" ht="45" customHeight="1">
      <c r="B70" s="119" t="s">
        <v>53</v>
      </c>
      <c r="C70" s="106">
        <f>400-200</f>
        <v>200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>
        <f>SUM(D70:Z70)</f>
        <v>0</v>
      </c>
      <c r="AB70" s="104">
        <f t="shared" si="14"/>
        <v>-200</v>
      </c>
    </row>
    <row r="71" spans="1:29" ht="15">
      <c r="A71" s="66">
        <v>170703</v>
      </c>
      <c r="B71" s="105" t="s">
        <v>54</v>
      </c>
      <c r="C71" s="106">
        <f>C72</f>
        <v>650.334</v>
      </c>
      <c r="D71" s="106">
        <f aca="true" t="shared" si="19" ref="D71:AA71">D72</f>
        <v>0</v>
      </c>
      <c r="E71" s="106">
        <f t="shared" si="19"/>
        <v>0</v>
      </c>
      <c r="F71" s="106">
        <f t="shared" si="19"/>
        <v>191.848</v>
      </c>
      <c r="G71" s="106">
        <f t="shared" si="19"/>
        <v>0</v>
      </c>
      <c r="H71" s="106">
        <f t="shared" si="19"/>
        <v>0</v>
      </c>
      <c r="I71" s="106">
        <f t="shared" si="19"/>
        <v>0</v>
      </c>
      <c r="J71" s="106">
        <f t="shared" si="19"/>
        <v>0</v>
      </c>
      <c r="K71" s="106">
        <f t="shared" si="19"/>
        <v>22.6716</v>
      </c>
      <c r="L71" s="106">
        <f t="shared" si="19"/>
        <v>0</v>
      </c>
      <c r="M71" s="106">
        <f t="shared" si="19"/>
        <v>0</v>
      </c>
      <c r="N71" s="106">
        <f t="shared" si="19"/>
        <v>20</v>
      </c>
      <c r="O71" s="106">
        <f t="shared" si="19"/>
        <v>0</v>
      </c>
      <c r="P71" s="106">
        <f t="shared" si="19"/>
        <v>0</v>
      </c>
      <c r="Q71" s="106">
        <f t="shared" si="19"/>
        <v>0</v>
      </c>
      <c r="R71" s="106">
        <f t="shared" si="19"/>
        <v>0</v>
      </c>
      <c r="S71" s="106">
        <f t="shared" si="19"/>
        <v>0</v>
      </c>
      <c r="T71" s="106">
        <f t="shared" si="19"/>
        <v>0</v>
      </c>
      <c r="U71" s="106">
        <f t="shared" si="19"/>
        <v>33.102</v>
      </c>
      <c r="V71" s="106">
        <f t="shared" si="19"/>
        <v>0</v>
      </c>
      <c r="W71" s="106">
        <f t="shared" si="19"/>
        <v>0</v>
      </c>
      <c r="X71" s="106">
        <f t="shared" si="19"/>
        <v>0</v>
      </c>
      <c r="Y71" s="106">
        <f t="shared" si="19"/>
        <v>0</v>
      </c>
      <c r="Z71" s="106">
        <f t="shared" si="19"/>
        <v>0</v>
      </c>
      <c r="AA71" s="106">
        <f t="shared" si="19"/>
        <v>267.6216</v>
      </c>
      <c r="AB71" s="104">
        <f t="shared" si="14"/>
        <v>-382.71239999999995</v>
      </c>
      <c r="AC71" s="94"/>
    </row>
    <row r="72" spans="2:40" s="94" customFormat="1" ht="15">
      <c r="B72" s="118" t="s">
        <v>51</v>
      </c>
      <c r="C72" s="113">
        <f>686.334-36</f>
        <v>650.334</v>
      </c>
      <c r="D72" s="86"/>
      <c r="E72" s="86"/>
      <c r="F72" s="86">
        <v>191.848</v>
      </c>
      <c r="G72" s="86"/>
      <c r="H72" s="86"/>
      <c r="I72" s="86"/>
      <c r="J72" s="86"/>
      <c r="K72" s="86">
        <v>22.6716</v>
      </c>
      <c r="L72" s="86"/>
      <c r="M72" s="86"/>
      <c r="N72" s="86">
        <v>20</v>
      </c>
      <c r="O72" s="86"/>
      <c r="P72" s="86"/>
      <c r="Q72" s="86"/>
      <c r="R72" s="86"/>
      <c r="S72" s="86"/>
      <c r="T72" s="86"/>
      <c r="U72" s="86">
        <v>33.102</v>
      </c>
      <c r="V72" s="86"/>
      <c r="W72" s="86"/>
      <c r="X72" s="86"/>
      <c r="Y72" s="86"/>
      <c r="Z72" s="86"/>
      <c r="AA72" s="86">
        <f aca="true" t="shared" si="20" ref="AA72:AA81">SUM(D72:Z72)</f>
        <v>267.6216</v>
      </c>
      <c r="AB72" s="104">
        <f t="shared" si="14"/>
        <v>-382.71239999999995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27">
      <c r="B73" s="119" t="s">
        <v>55</v>
      </c>
      <c r="C73" s="106">
        <v>10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20"/>
        <v>0</v>
      </c>
      <c r="AB73" s="104">
        <f t="shared" si="14"/>
        <v>-10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">
      <c r="B74" s="119" t="s">
        <v>56</v>
      </c>
      <c r="C74" s="106">
        <v>259.678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20"/>
        <v>0</v>
      </c>
      <c r="AB74" s="104">
        <f t="shared" si="14"/>
        <v>-259.678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15">
      <c r="B75" s="119" t="s">
        <v>57</v>
      </c>
      <c r="C75" s="106">
        <v>8.1824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20"/>
        <v>0</v>
      </c>
      <c r="AB75" s="104">
        <f t="shared" si="14"/>
        <v>-8.1824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2:40" s="94" customFormat="1" ht="15">
      <c r="B76" s="119" t="s">
        <v>58</v>
      </c>
      <c r="C76" s="106">
        <v>281.155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20"/>
        <v>0</v>
      </c>
      <c r="AB76" s="104">
        <f t="shared" si="14"/>
        <v>-281.155</v>
      </c>
      <c r="AD76" s="96"/>
      <c r="AE76" s="96"/>
      <c r="AF76" s="96"/>
      <c r="AG76" s="97"/>
      <c r="AH76" s="97"/>
      <c r="AI76" s="97"/>
      <c r="AJ76" s="97"/>
      <c r="AK76" s="97"/>
      <c r="AL76" s="97"/>
      <c r="AM76" s="97"/>
      <c r="AN76" s="97"/>
    </row>
    <row r="77" spans="1:40" s="66" customFormat="1" ht="15">
      <c r="A77" s="66">
        <v>250102</v>
      </c>
      <c r="B77" s="105" t="s">
        <v>59</v>
      </c>
      <c r="C77" s="106">
        <v>134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20"/>
        <v>0</v>
      </c>
      <c r="AB77" s="104">
        <f t="shared" si="14"/>
        <v>-134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55.5">
      <c r="B78" s="105" t="s">
        <v>60</v>
      </c>
      <c r="C78" s="106">
        <v>47.942</v>
      </c>
      <c r="D78" s="106"/>
      <c r="E78" s="106"/>
      <c r="F78" s="106"/>
      <c r="G78" s="106"/>
      <c r="H78" s="106"/>
      <c r="I78" s="106"/>
      <c r="J78" s="106"/>
      <c r="K78" s="106">
        <v>47.942</v>
      </c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20"/>
        <v>47.942</v>
      </c>
      <c r="AB78" s="104">
        <f t="shared" si="1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71.25" customHeight="1" hidden="1">
      <c r="B79" s="105" t="s">
        <v>61</v>
      </c>
      <c r="C79" s="106">
        <v>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20"/>
        <v>0</v>
      </c>
      <c r="AB79" s="104">
        <f t="shared" si="14"/>
        <v>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55.5" hidden="1">
      <c r="B80" s="105" t="s">
        <v>62</v>
      </c>
      <c r="C80" s="106">
        <v>0</v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>
        <f t="shared" si="20"/>
        <v>0</v>
      </c>
      <c r="AB80" s="104">
        <f t="shared" si="14"/>
        <v>0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42">
      <c r="B81" s="105" t="s">
        <v>63</v>
      </c>
      <c r="C81" s="106">
        <v>0</v>
      </c>
      <c r="D81" s="106">
        <v>168.70939</v>
      </c>
      <c r="E81" s="106">
        <v>102.297</v>
      </c>
      <c r="F81" s="106"/>
      <c r="G81" s="106">
        <v>94.492</v>
      </c>
      <c r="H81" s="106">
        <v>32.5</v>
      </c>
      <c r="I81" s="106">
        <v>545.68657</v>
      </c>
      <c r="J81" s="106"/>
      <c r="K81" s="106"/>
      <c r="L81" s="106">
        <v>381.58273</v>
      </c>
      <c r="M81" s="106">
        <v>13.1543</v>
      </c>
      <c r="N81" s="106"/>
      <c r="O81" s="106"/>
      <c r="P81" s="106">
        <v>190</v>
      </c>
      <c r="Q81" s="106">
        <v>124.98635</v>
      </c>
      <c r="R81" s="106">
        <v>345.174</v>
      </c>
      <c r="S81" s="106">
        <v>975.599</v>
      </c>
      <c r="T81" s="106">
        <v>197.026</v>
      </c>
      <c r="U81" s="106">
        <v>542.459</v>
      </c>
      <c r="V81" s="106"/>
      <c r="W81" s="106">
        <v>-3</v>
      </c>
      <c r="X81" s="106"/>
      <c r="Y81" s="106"/>
      <c r="Z81" s="106"/>
      <c r="AA81" s="106">
        <f t="shared" si="20"/>
        <v>3710.6663399999998</v>
      </c>
      <c r="AB81" s="104">
        <f t="shared" si="14"/>
        <v>3710.6663399999998</v>
      </c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2:40" s="66" customFormat="1" ht="15">
      <c r="B82" s="120" t="s">
        <v>64</v>
      </c>
      <c r="C82" s="121">
        <f>SUM(C83:C89)</f>
        <v>31860.612900000004</v>
      </c>
      <c r="D82" s="121">
        <f aca="true" t="shared" si="21" ref="D82:AA82">SUM(D83:D89)</f>
        <v>234.89939</v>
      </c>
      <c r="E82" s="121">
        <f t="shared" si="21"/>
        <v>149.42542999999998</v>
      </c>
      <c r="F82" s="121">
        <f t="shared" si="21"/>
        <v>481.76000000000005</v>
      </c>
      <c r="G82" s="121">
        <f t="shared" si="21"/>
        <v>1038.672</v>
      </c>
      <c r="H82" s="121">
        <f t="shared" si="21"/>
        <v>404.21900000000005</v>
      </c>
      <c r="I82" s="121">
        <f t="shared" si="21"/>
        <v>893.38659</v>
      </c>
      <c r="J82" s="121">
        <f t="shared" si="21"/>
        <v>669.566</v>
      </c>
      <c r="K82" s="121">
        <f t="shared" si="21"/>
        <v>1485.39332</v>
      </c>
      <c r="L82" s="121">
        <f t="shared" si="21"/>
        <v>1797.0082400000001</v>
      </c>
      <c r="M82" s="121">
        <f t="shared" si="21"/>
        <v>175.57832</v>
      </c>
      <c r="N82" s="121">
        <f t="shared" si="21"/>
        <v>201.788</v>
      </c>
      <c r="O82" s="121">
        <f t="shared" si="21"/>
        <v>209.703</v>
      </c>
      <c r="P82" s="121">
        <f t="shared" si="21"/>
        <v>950.59789</v>
      </c>
      <c r="Q82" s="121">
        <f t="shared" si="21"/>
        <v>334.44593</v>
      </c>
      <c r="R82" s="121">
        <f t="shared" si="21"/>
        <v>638.123</v>
      </c>
      <c r="S82" s="121">
        <f t="shared" si="21"/>
        <v>4184.368</v>
      </c>
      <c r="T82" s="121">
        <f>SUM(T83:T89)</f>
        <v>1311.857</v>
      </c>
      <c r="U82" s="121">
        <f t="shared" si="21"/>
        <v>1257.815</v>
      </c>
      <c r="V82" s="121">
        <f t="shared" si="21"/>
        <v>98.072</v>
      </c>
      <c r="W82" s="121">
        <f t="shared" si="21"/>
        <v>922.3380000000001</v>
      </c>
      <c r="X82" s="121">
        <f t="shared" si="21"/>
        <v>0</v>
      </c>
      <c r="Y82" s="121">
        <f t="shared" si="21"/>
        <v>0</v>
      </c>
      <c r="Z82" s="121">
        <f t="shared" si="21"/>
        <v>0</v>
      </c>
      <c r="AA82" s="121">
        <f t="shared" si="21"/>
        <v>17439.016109999997</v>
      </c>
      <c r="AB82" s="104">
        <f t="shared" si="14"/>
        <v>-14421.596790000007</v>
      </c>
      <c r="AC82" s="69"/>
      <c r="AD82" s="67"/>
      <c r="AE82" s="67"/>
      <c r="AF82" s="67"/>
      <c r="AG82" s="68"/>
      <c r="AH82" s="68"/>
      <c r="AI82" s="68"/>
      <c r="AJ82" s="68"/>
      <c r="AK82" s="68"/>
      <c r="AL82" s="68"/>
      <c r="AM82" s="68"/>
      <c r="AN82" s="68"/>
    </row>
    <row r="83" spans="1:40" s="72" customFormat="1" ht="15">
      <c r="A83" s="69"/>
      <c r="B83" s="107" t="s">
        <v>20</v>
      </c>
      <c r="C83" s="108">
        <f aca="true" t="shared" si="22" ref="C83:AA83">C20+C37+C43+C47+C51+C54+C59+C24</f>
        <v>18585.41698</v>
      </c>
      <c r="D83" s="108">
        <f t="shared" si="22"/>
        <v>66</v>
      </c>
      <c r="E83" s="108">
        <f t="shared" si="22"/>
        <v>2.704</v>
      </c>
      <c r="F83" s="108">
        <f t="shared" si="22"/>
        <v>33.055</v>
      </c>
      <c r="G83" s="108">
        <f t="shared" si="22"/>
        <v>24.76</v>
      </c>
      <c r="H83" s="108">
        <f t="shared" si="22"/>
        <v>188.329</v>
      </c>
      <c r="I83" s="108">
        <f t="shared" si="22"/>
        <v>127.21142</v>
      </c>
      <c r="J83" s="108">
        <f t="shared" si="22"/>
        <v>468.233</v>
      </c>
      <c r="K83" s="108">
        <f t="shared" si="22"/>
        <v>1263.73053</v>
      </c>
      <c r="L83" s="108">
        <f t="shared" si="22"/>
        <v>1169.85087</v>
      </c>
      <c r="M83" s="108">
        <f t="shared" si="22"/>
        <v>149.765</v>
      </c>
      <c r="N83" s="108">
        <f t="shared" si="22"/>
        <v>24.295</v>
      </c>
      <c r="O83" s="108">
        <f t="shared" si="22"/>
        <v>0</v>
      </c>
      <c r="P83" s="108">
        <f t="shared" si="22"/>
        <v>27.72</v>
      </c>
      <c r="Q83" s="108">
        <f t="shared" si="22"/>
        <v>0</v>
      </c>
      <c r="R83" s="108">
        <f t="shared" si="22"/>
        <v>263.654</v>
      </c>
      <c r="S83" s="108">
        <f t="shared" si="22"/>
        <v>3005.2870000000003</v>
      </c>
      <c r="T83" s="108">
        <f t="shared" si="22"/>
        <v>1106.061</v>
      </c>
      <c r="U83" s="108">
        <f t="shared" si="22"/>
        <v>650.953</v>
      </c>
      <c r="V83" s="108">
        <f t="shared" si="22"/>
        <v>0</v>
      </c>
      <c r="W83" s="108">
        <f t="shared" si="22"/>
        <v>918.152</v>
      </c>
      <c r="X83" s="108">
        <f t="shared" si="22"/>
        <v>0</v>
      </c>
      <c r="Y83" s="108">
        <f t="shared" si="22"/>
        <v>0</v>
      </c>
      <c r="Z83" s="108">
        <f t="shared" si="22"/>
        <v>0</v>
      </c>
      <c r="AA83" s="108">
        <f t="shared" si="22"/>
        <v>9489.76082</v>
      </c>
      <c r="AB83" s="104">
        <f aca="true" t="shared" si="23" ref="AB83:AB89">AA83-C83</f>
        <v>-9095.656160000002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">
      <c r="A84" s="69"/>
      <c r="B84" s="107" t="s">
        <v>29</v>
      </c>
      <c r="C84" s="108">
        <f aca="true" t="shared" si="24" ref="C84:AA84">C25+C38+C60</f>
        <v>14.24239</v>
      </c>
      <c r="D84" s="108">
        <f t="shared" si="24"/>
        <v>0</v>
      </c>
      <c r="E84" s="108">
        <f t="shared" si="24"/>
        <v>0</v>
      </c>
      <c r="F84" s="108">
        <f t="shared" si="24"/>
        <v>1.794</v>
      </c>
      <c r="G84" s="108">
        <f t="shared" si="24"/>
        <v>0</v>
      </c>
      <c r="H84" s="108">
        <f t="shared" si="24"/>
        <v>0</v>
      </c>
      <c r="I84" s="108">
        <f t="shared" si="24"/>
        <v>0</v>
      </c>
      <c r="J84" s="108">
        <f t="shared" si="24"/>
        <v>0</v>
      </c>
      <c r="K84" s="108">
        <f t="shared" si="24"/>
        <v>0</v>
      </c>
      <c r="L84" s="108">
        <f t="shared" si="24"/>
        <v>0</v>
      </c>
      <c r="M84" s="108">
        <f t="shared" si="24"/>
        <v>0</v>
      </c>
      <c r="N84" s="108">
        <f t="shared" si="24"/>
        <v>0</v>
      </c>
      <c r="O84" s="108">
        <f t="shared" si="24"/>
        <v>0</v>
      </c>
      <c r="P84" s="108">
        <f t="shared" si="24"/>
        <v>0</v>
      </c>
      <c r="Q84" s="108">
        <f t="shared" si="24"/>
        <v>0</v>
      </c>
      <c r="R84" s="108">
        <f t="shared" si="24"/>
        <v>0</v>
      </c>
      <c r="S84" s="108">
        <f t="shared" si="24"/>
        <v>0.998</v>
      </c>
      <c r="T84" s="108">
        <f t="shared" si="24"/>
        <v>1.999</v>
      </c>
      <c r="U84" s="108">
        <f t="shared" si="24"/>
        <v>0</v>
      </c>
      <c r="V84" s="108">
        <f t="shared" si="24"/>
        <v>0</v>
      </c>
      <c r="W84" s="108">
        <f t="shared" si="24"/>
        <v>0</v>
      </c>
      <c r="X84" s="108">
        <f t="shared" si="24"/>
        <v>0</v>
      </c>
      <c r="Y84" s="108">
        <f t="shared" si="24"/>
        <v>0</v>
      </c>
      <c r="Z84" s="108">
        <f t="shared" si="24"/>
        <v>0</v>
      </c>
      <c r="AA84" s="108">
        <f t="shared" si="24"/>
        <v>4.791</v>
      </c>
      <c r="AB84" s="104">
        <f t="shared" si="23"/>
        <v>-9.45139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">
      <c r="A85" s="69"/>
      <c r="B85" s="107" t="s">
        <v>31</v>
      </c>
      <c r="C85" s="108">
        <f aca="true" t="shared" si="25" ref="C85:AA85">C26+C39</f>
        <v>731.8204</v>
      </c>
      <c r="D85" s="108">
        <f t="shared" si="25"/>
        <v>0</v>
      </c>
      <c r="E85" s="108">
        <f t="shared" si="25"/>
        <v>0</v>
      </c>
      <c r="F85" s="108">
        <f t="shared" si="25"/>
        <v>0</v>
      </c>
      <c r="G85" s="108">
        <f t="shared" si="25"/>
        <v>8.524</v>
      </c>
      <c r="H85" s="108">
        <f t="shared" si="25"/>
        <v>0</v>
      </c>
      <c r="I85" s="108">
        <f t="shared" si="25"/>
        <v>39.9543</v>
      </c>
      <c r="J85" s="108">
        <f t="shared" si="25"/>
        <v>1.376</v>
      </c>
      <c r="K85" s="108">
        <f t="shared" si="25"/>
        <v>16.13266</v>
      </c>
      <c r="L85" s="108">
        <f t="shared" si="25"/>
        <v>0</v>
      </c>
      <c r="M85" s="108">
        <f t="shared" si="25"/>
        <v>0</v>
      </c>
      <c r="N85" s="108">
        <f t="shared" si="25"/>
        <v>92.083</v>
      </c>
      <c r="O85" s="108">
        <f t="shared" si="25"/>
        <v>6.469</v>
      </c>
      <c r="P85" s="108">
        <f t="shared" si="25"/>
        <v>0</v>
      </c>
      <c r="Q85" s="108">
        <f t="shared" si="25"/>
        <v>34.22285</v>
      </c>
      <c r="R85" s="108">
        <f t="shared" si="25"/>
        <v>0</v>
      </c>
      <c r="S85" s="108">
        <f t="shared" si="25"/>
        <v>59.989</v>
      </c>
      <c r="T85" s="108">
        <f t="shared" si="25"/>
        <v>24.027</v>
      </c>
      <c r="U85" s="108">
        <f t="shared" si="25"/>
        <v>3.3</v>
      </c>
      <c r="V85" s="108">
        <f t="shared" si="25"/>
        <v>27.9</v>
      </c>
      <c r="W85" s="108">
        <f t="shared" si="25"/>
        <v>0</v>
      </c>
      <c r="X85" s="108">
        <f t="shared" si="25"/>
        <v>0</v>
      </c>
      <c r="Y85" s="108">
        <f t="shared" si="25"/>
        <v>0</v>
      </c>
      <c r="Z85" s="108">
        <f t="shared" si="25"/>
        <v>0</v>
      </c>
      <c r="AA85" s="108">
        <f t="shared" si="25"/>
        <v>313.97781</v>
      </c>
      <c r="AB85" s="104">
        <f t="shared" si="23"/>
        <v>-417.84259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">
      <c r="A86" s="69"/>
      <c r="B86" s="107" t="s">
        <v>22</v>
      </c>
      <c r="C86" s="108">
        <f aca="true" t="shared" si="26" ref="C86:AA86">C21+C27+C40+C44+C48+C55+C61+C68</f>
        <v>926.8108699999999</v>
      </c>
      <c r="D86" s="108">
        <f t="shared" si="26"/>
        <v>0</v>
      </c>
      <c r="E86" s="108">
        <f t="shared" si="26"/>
        <v>0</v>
      </c>
      <c r="F86" s="108">
        <f t="shared" si="26"/>
        <v>1.223</v>
      </c>
      <c r="G86" s="108">
        <f t="shared" si="26"/>
        <v>3.25</v>
      </c>
      <c r="H86" s="108">
        <f t="shared" si="26"/>
        <v>4.632</v>
      </c>
      <c r="I86" s="108">
        <f t="shared" si="26"/>
        <v>1.54486</v>
      </c>
      <c r="J86" s="108">
        <f t="shared" si="26"/>
        <v>0</v>
      </c>
      <c r="K86" s="108">
        <f t="shared" si="26"/>
        <v>0</v>
      </c>
      <c r="L86" s="108">
        <f t="shared" si="26"/>
        <v>0</v>
      </c>
      <c r="M86" s="108">
        <f t="shared" si="26"/>
        <v>0</v>
      </c>
      <c r="N86" s="108">
        <f t="shared" si="26"/>
        <v>6.446</v>
      </c>
      <c r="O86" s="108">
        <f t="shared" si="26"/>
        <v>4.786</v>
      </c>
      <c r="P86" s="108">
        <f t="shared" si="26"/>
        <v>27.1092</v>
      </c>
      <c r="Q86" s="108">
        <f t="shared" si="26"/>
        <v>18.88779</v>
      </c>
      <c r="R86" s="108">
        <f t="shared" si="26"/>
        <v>4.149</v>
      </c>
      <c r="S86" s="108">
        <f t="shared" si="26"/>
        <v>71.637</v>
      </c>
      <c r="T86" s="108">
        <f t="shared" si="26"/>
        <v>3.213</v>
      </c>
      <c r="U86" s="108">
        <f t="shared" si="26"/>
        <v>0.489</v>
      </c>
      <c r="V86" s="108">
        <f t="shared" si="26"/>
        <v>0</v>
      </c>
      <c r="W86" s="108">
        <f t="shared" si="26"/>
        <v>-0.064</v>
      </c>
      <c r="X86" s="108">
        <f t="shared" si="26"/>
        <v>0</v>
      </c>
      <c r="Y86" s="108">
        <f t="shared" si="26"/>
        <v>0</v>
      </c>
      <c r="Z86" s="108">
        <f t="shared" si="26"/>
        <v>0</v>
      </c>
      <c r="AA86" s="108">
        <f t="shared" si="26"/>
        <v>147.30285</v>
      </c>
      <c r="AB86" s="104">
        <f t="shared" si="23"/>
        <v>-779.5080199999999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">
      <c r="A87" s="69"/>
      <c r="B87" s="107" t="s">
        <v>47</v>
      </c>
      <c r="C87" s="108">
        <f aca="true" t="shared" si="27" ref="C87:AA87">C56+C74</f>
        <v>282.05559</v>
      </c>
      <c r="D87" s="108">
        <f t="shared" si="27"/>
        <v>0</v>
      </c>
      <c r="E87" s="108">
        <f t="shared" si="27"/>
        <v>0</v>
      </c>
      <c r="F87" s="108">
        <f t="shared" si="27"/>
        <v>0</v>
      </c>
      <c r="G87" s="108">
        <f t="shared" si="27"/>
        <v>0</v>
      </c>
      <c r="H87" s="108">
        <f t="shared" si="27"/>
        <v>0</v>
      </c>
      <c r="I87" s="108">
        <f t="shared" si="27"/>
        <v>0</v>
      </c>
      <c r="J87" s="108">
        <f t="shared" si="27"/>
        <v>0</v>
      </c>
      <c r="K87" s="108">
        <f t="shared" si="27"/>
        <v>0</v>
      </c>
      <c r="L87" s="108">
        <f t="shared" si="27"/>
        <v>0</v>
      </c>
      <c r="M87" s="108">
        <f t="shared" si="27"/>
        <v>0</v>
      </c>
      <c r="N87" s="108">
        <f t="shared" si="27"/>
        <v>0</v>
      </c>
      <c r="O87" s="108">
        <f t="shared" si="27"/>
        <v>0</v>
      </c>
      <c r="P87" s="108">
        <f t="shared" si="27"/>
        <v>0</v>
      </c>
      <c r="Q87" s="108">
        <f t="shared" si="27"/>
        <v>0</v>
      </c>
      <c r="R87" s="108">
        <f t="shared" si="27"/>
        <v>0</v>
      </c>
      <c r="S87" s="108">
        <f t="shared" si="27"/>
        <v>0</v>
      </c>
      <c r="T87" s="108">
        <f t="shared" si="27"/>
        <v>0</v>
      </c>
      <c r="U87" s="108">
        <f t="shared" si="27"/>
        <v>0</v>
      </c>
      <c r="V87" s="108">
        <f t="shared" si="27"/>
        <v>0</v>
      </c>
      <c r="W87" s="108">
        <f t="shared" si="27"/>
        <v>0</v>
      </c>
      <c r="X87" s="108">
        <f t="shared" si="27"/>
        <v>0</v>
      </c>
      <c r="Y87" s="108">
        <f t="shared" si="27"/>
        <v>0</v>
      </c>
      <c r="Z87" s="108">
        <f t="shared" si="27"/>
        <v>0</v>
      </c>
      <c r="AA87" s="108">
        <f t="shared" si="27"/>
        <v>0</v>
      </c>
      <c r="AB87" s="104">
        <f t="shared" si="23"/>
        <v>-282.05559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">
      <c r="A88" s="69"/>
      <c r="B88" s="107" t="s">
        <v>35</v>
      </c>
      <c r="C88" s="108">
        <f>C30+C52+C62+C66+C31+C69+C78+C79+C80</f>
        <v>3939.3664799999997</v>
      </c>
      <c r="D88" s="108">
        <f aca="true" t="shared" si="28" ref="D88:AA88">D30+D52+D62+D66+D31+D69+D78+D79+D80</f>
        <v>0</v>
      </c>
      <c r="E88" s="108">
        <f t="shared" si="28"/>
        <v>2.718</v>
      </c>
      <c r="F88" s="108">
        <f t="shared" si="28"/>
        <v>147.841</v>
      </c>
      <c r="G88" s="108">
        <f t="shared" si="28"/>
        <v>880.415</v>
      </c>
      <c r="H88" s="108">
        <f t="shared" si="28"/>
        <v>93.319</v>
      </c>
      <c r="I88" s="108">
        <f t="shared" si="28"/>
        <v>66.79145</v>
      </c>
      <c r="J88" s="108">
        <f t="shared" si="28"/>
        <v>143.804</v>
      </c>
      <c r="K88" s="108">
        <f t="shared" si="28"/>
        <v>59.545500000000004</v>
      </c>
      <c r="L88" s="108">
        <f t="shared" si="28"/>
        <v>168.48298</v>
      </c>
      <c r="M88" s="108">
        <f t="shared" si="28"/>
        <v>0</v>
      </c>
      <c r="N88" s="108">
        <f t="shared" si="28"/>
        <v>5.079</v>
      </c>
      <c r="O88" s="108">
        <f t="shared" si="28"/>
        <v>72.281</v>
      </c>
      <c r="P88" s="108">
        <f t="shared" si="28"/>
        <v>560.04054</v>
      </c>
      <c r="Q88" s="108">
        <f t="shared" si="28"/>
        <v>14.6622</v>
      </c>
      <c r="R88" s="108">
        <f t="shared" si="28"/>
        <v>0</v>
      </c>
      <c r="S88" s="108">
        <f t="shared" si="28"/>
        <v>9.133</v>
      </c>
      <c r="T88" s="108">
        <f t="shared" si="28"/>
        <v>15.262</v>
      </c>
      <c r="U88" s="108">
        <f t="shared" si="28"/>
        <v>8.075</v>
      </c>
      <c r="V88" s="108">
        <f t="shared" si="28"/>
        <v>0</v>
      </c>
      <c r="W88" s="108">
        <f t="shared" si="28"/>
        <v>0</v>
      </c>
      <c r="X88" s="108">
        <f t="shared" si="28"/>
        <v>0</v>
      </c>
      <c r="Y88" s="108">
        <f t="shared" si="28"/>
        <v>0</v>
      </c>
      <c r="Z88" s="108">
        <f t="shared" si="28"/>
        <v>0</v>
      </c>
      <c r="AA88" s="108">
        <f t="shared" si="28"/>
        <v>2247.44967</v>
      </c>
      <c r="AB88" s="104">
        <f t="shared" si="23"/>
        <v>-1691.9168099999997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">
      <c r="A89" s="69"/>
      <c r="B89" s="107" t="s">
        <v>24</v>
      </c>
      <c r="C89" s="108">
        <f>C22+C28+C32+C33+C41+C45+C49+C57+C63+C72+C76+C77+C81+C65+C75+C73+C35+C70+C34</f>
        <v>7380.900189999999</v>
      </c>
      <c r="D89" s="108">
        <f aca="true" t="shared" si="29" ref="D89:AA89">D22+D28+D32+D33+D41+D45+D49+D57+D63+D72+D76+D77+D81+D65+D75+D73+D35+D70+D34</f>
        <v>168.89939</v>
      </c>
      <c r="E89" s="108">
        <f t="shared" si="29"/>
        <v>144.00342999999998</v>
      </c>
      <c r="F89" s="108">
        <f t="shared" si="29"/>
        <v>297.84700000000004</v>
      </c>
      <c r="G89" s="108">
        <f t="shared" si="29"/>
        <v>121.72300000000001</v>
      </c>
      <c r="H89" s="108">
        <f t="shared" si="29"/>
        <v>117.939</v>
      </c>
      <c r="I89" s="108">
        <f t="shared" si="29"/>
        <v>657.88456</v>
      </c>
      <c r="J89" s="108">
        <f t="shared" si="29"/>
        <v>56.153</v>
      </c>
      <c r="K89" s="108">
        <f t="shared" si="29"/>
        <v>145.98462999999998</v>
      </c>
      <c r="L89" s="108">
        <f t="shared" si="29"/>
        <v>458.67439</v>
      </c>
      <c r="M89" s="108">
        <f t="shared" si="29"/>
        <v>25.813319999999997</v>
      </c>
      <c r="N89" s="108">
        <f t="shared" si="29"/>
        <v>73.885</v>
      </c>
      <c r="O89" s="108">
        <f t="shared" si="29"/>
        <v>126.167</v>
      </c>
      <c r="P89" s="108">
        <f t="shared" si="29"/>
        <v>335.72815</v>
      </c>
      <c r="Q89" s="108">
        <f t="shared" si="29"/>
        <v>266.67309</v>
      </c>
      <c r="R89" s="108">
        <f t="shared" si="29"/>
        <v>370.32</v>
      </c>
      <c r="S89" s="108">
        <f t="shared" si="29"/>
        <v>1037.324</v>
      </c>
      <c r="T89" s="108">
        <f t="shared" si="29"/>
        <v>161.29500000000002</v>
      </c>
      <c r="U89" s="108">
        <f t="shared" si="29"/>
        <v>594.9979999999999</v>
      </c>
      <c r="V89" s="108">
        <f t="shared" si="29"/>
        <v>70.172</v>
      </c>
      <c r="W89" s="108">
        <f t="shared" si="29"/>
        <v>4.25</v>
      </c>
      <c r="X89" s="108">
        <f t="shared" si="29"/>
        <v>0</v>
      </c>
      <c r="Y89" s="108">
        <f t="shared" si="29"/>
        <v>0</v>
      </c>
      <c r="Z89" s="108">
        <f t="shared" si="29"/>
        <v>0</v>
      </c>
      <c r="AA89" s="108">
        <f t="shared" si="29"/>
        <v>5235.73396</v>
      </c>
      <c r="AB89" s="104">
        <f t="shared" si="23"/>
        <v>-2145.16623</v>
      </c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">
      <c r="A90" s="69"/>
      <c r="B90" s="69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">
      <c r="A91" s="69"/>
      <c r="B91" s="69" t="s">
        <v>65</v>
      </c>
      <c r="C91" s="124">
        <f aca="true" t="shared" si="30" ref="C91:AA91">C18-C82</f>
        <v>0</v>
      </c>
      <c r="D91" s="124">
        <f t="shared" si="30"/>
        <v>0</v>
      </c>
      <c r="E91" s="124">
        <f t="shared" si="30"/>
        <v>0</v>
      </c>
      <c r="F91" s="124">
        <f t="shared" si="30"/>
        <v>0</v>
      </c>
      <c r="G91" s="124">
        <f t="shared" si="30"/>
        <v>0</v>
      </c>
      <c r="H91" s="124">
        <f t="shared" si="30"/>
        <v>0</v>
      </c>
      <c r="I91" s="124">
        <f t="shared" si="30"/>
        <v>0</v>
      </c>
      <c r="J91" s="124">
        <f t="shared" si="30"/>
        <v>0</v>
      </c>
      <c r="K91" s="124">
        <f t="shared" si="30"/>
        <v>0</v>
      </c>
      <c r="L91" s="124">
        <f t="shared" si="30"/>
        <v>0</v>
      </c>
      <c r="M91" s="124">
        <f t="shared" si="30"/>
        <v>0</v>
      </c>
      <c r="N91" s="124">
        <f t="shared" si="30"/>
        <v>0</v>
      </c>
      <c r="O91" s="124">
        <f t="shared" si="30"/>
        <v>0</v>
      </c>
      <c r="P91" s="124">
        <f t="shared" si="30"/>
        <v>0</v>
      </c>
      <c r="Q91" s="124">
        <f t="shared" si="30"/>
        <v>0</v>
      </c>
      <c r="R91" s="124">
        <f t="shared" si="30"/>
        <v>0</v>
      </c>
      <c r="S91" s="124">
        <f t="shared" si="30"/>
        <v>0</v>
      </c>
      <c r="T91" s="124">
        <f t="shared" si="30"/>
        <v>0</v>
      </c>
      <c r="U91" s="124">
        <f t="shared" si="30"/>
        <v>0</v>
      </c>
      <c r="V91" s="124">
        <f t="shared" si="30"/>
        <v>0</v>
      </c>
      <c r="W91" s="124">
        <f t="shared" si="30"/>
        <v>0</v>
      </c>
      <c r="X91" s="124">
        <f t="shared" si="30"/>
        <v>0</v>
      </c>
      <c r="Y91" s="124">
        <f t="shared" si="30"/>
        <v>0</v>
      </c>
      <c r="Z91" s="124">
        <f t="shared" si="30"/>
        <v>0</v>
      </c>
      <c r="AA91" s="124">
        <f t="shared" si="30"/>
        <v>0</v>
      </c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3" spans="1:40" s="72" customFormat="1" ht="15">
      <c r="A93" s="69"/>
      <c r="B93" s="69"/>
      <c r="C93" s="126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71"/>
      <c r="AC93" s="69"/>
      <c r="AG93" s="73"/>
      <c r="AH93" s="73"/>
      <c r="AI93" s="73"/>
      <c r="AJ93" s="73"/>
      <c r="AK93" s="73"/>
      <c r="AL93" s="73"/>
      <c r="AM93" s="73"/>
      <c r="AN93" s="73"/>
    </row>
    <row r="95" spans="1:40" s="72" customFormat="1" ht="1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71"/>
      <c r="AC95" s="127"/>
      <c r="AG95" s="73"/>
      <c r="AH95" s="73"/>
      <c r="AI95" s="73"/>
      <c r="AJ95" s="73"/>
      <c r="AK95" s="73"/>
      <c r="AL95" s="73"/>
      <c r="AM95" s="73"/>
      <c r="AN95" s="73"/>
    </row>
    <row r="174" ht="15">
      <c r="B174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3:AN174"/>
  <sheetViews>
    <sheetView zoomScale="85" zoomScaleNormal="85" zoomScaleSheetLayoutView="55" workbookViewId="0" topLeftCell="B1">
      <pane xSplit="4740" ySplit="2496" topLeftCell="B4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4" width="8.7109375" style="69" customWidth="1"/>
    <col min="25" max="26" width="8.71093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7.25">
      <c r="B3" s="137" t="s">
        <v>77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">
      <c r="B4" s="69" t="s">
        <v>0</v>
      </c>
      <c r="AA4" s="70" t="s">
        <v>1</v>
      </c>
    </row>
    <row r="5" spans="2:27" ht="69">
      <c r="B5" s="74" t="s">
        <v>2</v>
      </c>
      <c r="C5" s="75" t="s">
        <v>3</v>
      </c>
      <c r="D5" s="76">
        <v>2</v>
      </c>
      <c r="E5" s="74">
        <v>3</v>
      </c>
      <c r="F5" s="74">
        <v>4</v>
      </c>
      <c r="G5" s="74">
        <v>5</v>
      </c>
      <c r="H5" s="74">
        <v>6</v>
      </c>
      <c r="I5" s="74">
        <v>9</v>
      </c>
      <c r="J5" s="77">
        <v>10</v>
      </c>
      <c r="K5" s="74">
        <v>11</v>
      </c>
      <c r="L5" s="74">
        <v>12</v>
      </c>
      <c r="M5" s="74">
        <v>13</v>
      </c>
      <c r="N5" s="74">
        <v>16</v>
      </c>
      <c r="O5" s="74">
        <v>17</v>
      </c>
      <c r="P5" s="74">
        <v>18</v>
      </c>
      <c r="Q5" s="74">
        <v>19</v>
      </c>
      <c r="R5" s="74">
        <v>20</v>
      </c>
      <c r="S5" s="74">
        <v>23</v>
      </c>
      <c r="T5" s="74">
        <v>24</v>
      </c>
      <c r="U5" s="74">
        <v>25</v>
      </c>
      <c r="V5" s="77">
        <v>26</v>
      </c>
      <c r="W5" s="74">
        <v>27</v>
      </c>
      <c r="X5" s="77">
        <v>30</v>
      </c>
      <c r="Y5" s="77"/>
      <c r="Z5" s="77"/>
      <c r="AA5" s="76" t="s">
        <v>4</v>
      </c>
    </row>
    <row r="6" spans="2:27" ht="27">
      <c r="B6" s="78" t="s">
        <v>5</v>
      </c>
      <c r="C6" s="79">
        <f>SUM(D6:Y6)</f>
        <v>0</v>
      </c>
      <c r="D6" s="80"/>
      <c r="E6" s="81"/>
      <c r="F6" s="82"/>
      <c r="G6" s="81"/>
      <c r="H6" s="82"/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">
      <c r="B7" s="84" t="s">
        <v>6</v>
      </c>
      <c r="C7" s="79">
        <f>SUM(D7:Y7)</f>
        <v>2232.2</v>
      </c>
      <c r="D7" s="85">
        <v>1116.1</v>
      </c>
      <c r="E7" s="81"/>
      <c r="F7" s="81"/>
      <c r="G7" s="81"/>
      <c r="H7" s="81"/>
      <c r="I7" s="81"/>
      <c r="J7" s="86"/>
      <c r="K7" s="81">
        <v>1116.1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">
      <c r="B8" s="87" t="s">
        <v>8</v>
      </c>
      <c r="C8" s="88">
        <f aca="true" t="shared" si="0" ref="C8:C16">SUM(D8:Z8)</f>
        <v>19582.499999999996</v>
      </c>
      <c r="D8" s="89">
        <f aca="true" t="shared" si="1" ref="D8:Y8">SUM(D9:D16)</f>
        <v>292.4</v>
      </c>
      <c r="E8" s="89">
        <f t="shared" si="1"/>
        <v>178.00000000000003</v>
      </c>
      <c r="F8" s="89">
        <f t="shared" si="1"/>
        <v>173.5</v>
      </c>
      <c r="G8" s="89">
        <f t="shared" si="1"/>
        <v>754.3</v>
      </c>
      <c r="H8" s="89">
        <f t="shared" si="1"/>
        <v>2923.6</v>
      </c>
      <c r="I8" s="89">
        <f>SUM(I9:I16)</f>
        <v>2365</v>
      </c>
      <c r="J8" s="89">
        <f t="shared" si="1"/>
        <v>330.79999999999995</v>
      </c>
      <c r="K8" s="89">
        <f>SUM(K9:K16)</f>
        <v>586</v>
      </c>
      <c r="L8" s="89">
        <f t="shared" si="1"/>
        <v>688.5</v>
      </c>
      <c r="M8" s="89">
        <f t="shared" si="1"/>
        <v>781.3999999999999</v>
      </c>
      <c r="N8" s="89">
        <f t="shared" si="1"/>
        <v>408.5</v>
      </c>
      <c r="O8" s="89">
        <f t="shared" si="1"/>
        <v>362.4</v>
      </c>
      <c r="P8" s="89">
        <f t="shared" si="1"/>
        <v>378.1</v>
      </c>
      <c r="Q8" s="89">
        <f t="shared" si="1"/>
        <v>776.3999999999999</v>
      </c>
      <c r="R8" s="89">
        <f t="shared" si="1"/>
        <v>1398.5</v>
      </c>
      <c r="S8" s="89">
        <f>SUM(S9:S16)</f>
        <v>740.8</v>
      </c>
      <c r="T8" s="89">
        <f>SUM(T9:T16)</f>
        <v>974.1999999999999</v>
      </c>
      <c r="U8" s="89">
        <f t="shared" si="1"/>
        <v>1344.1</v>
      </c>
      <c r="V8" s="89">
        <f t="shared" si="1"/>
        <v>1533.1999999999998</v>
      </c>
      <c r="W8" s="89">
        <f t="shared" si="1"/>
        <v>1228.3</v>
      </c>
      <c r="X8" s="89">
        <f t="shared" si="1"/>
        <v>1364.5000000000002</v>
      </c>
      <c r="Y8" s="89">
        <f t="shared" si="1"/>
        <v>0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">
      <c r="B9" s="27" t="s">
        <v>9</v>
      </c>
      <c r="C9" s="90">
        <f t="shared" si="0"/>
        <v>11420.599999999999</v>
      </c>
      <c r="D9" s="91">
        <v>180.2</v>
      </c>
      <c r="E9" s="86">
        <v>93.4</v>
      </c>
      <c r="F9" s="86">
        <v>112.1</v>
      </c>
      <c r="G9" s="86">
        <v>561.1</v>
      </c>
      <c r="H9" s="86">
        <v>2835.7</v>
      </c>
      <c r="I9" s="86">
        <v>263.7</v>
      </c>
      <c r="J9" s="86">
        <v>221.8</v>
      </c>
      <c r="K9" s="86">
        <v>402.3</v>
      </c>
      <c r="L9" s="86">
        <v>390</v>
      </c>
      <c r="M9" s="86">
        <v>579.3</v>
      </c>
      <c r="N9" s="86">
        <v>149.2</v>
      </c>
      <c r="O9" s="86">
        <v>129.3</v>
      </c>
      <c r="P9" s="86">
        <v>108.3</v>
      </c>
      <c r="Q9" s="86">
        <v>563.8</v>
      </c>
      <c r="R9" s="92">
        <v>1185.8</v>
      </c>
      <c r="S9" s="92">
        <v>429.3</v>
      </c>
      <c r="T9" s="86">
        <v>224.4</v>
      </c>
      <c r="U9" s="92">
        <v>671.8</v>
      </c>
      <c r="V9" s="86">
        <v>748.8</v>
      </c>
      <c r="W9" s="86">
        <v>571.3</v>
      </c>
      <c r="X9" s="86">
        <v>999</v>
      </c>
      <c r="Y9" s="86"/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2997.8999999999996</v>
      </c>
      <c r="D11" s="91"/>
      <c r="E11" s="86">
        <v>0.2</v>
      </c>
      <c r="F11" s="86"/>
      <c r="G11" s="86">
        <v>30</v>
      </c>
      <c r="H11" s="86"/>
      <c r="I11" s="86">
        <v>1912.9</v>
      </c>
      <c r="J11" s="86">
        <v>38.8</v>
      </c>
      <c r="K11" s="86">
        <v>36.6</v>
      </c>
      <c r="L11" s="86">
        <v>26.3</v>
      </c>
      <c r="M11" s="86">
        <v>39.6</v>
      </c>
      <c r="N11" s="86">
        <v>91.2</v>
      </c>
      <c r="O11" s="86">
        <v>39.3</v>
      </c>
      <c r="P11" s="86">
        <v>57.5</v>
      </c>
      <c r="Q11" s="86">
        <v>43.5</v>
      </c>
      <c r="R11" s="92">
        <v>49.1</v>
      </c>
      <c r="S11" s="92">
        <v>80.7</v>
      </c>
      <c r="T11" s="86">
        <v>37.5</v>
      </c>
      <c r="U11" s="92">
        <v>249.5</v>
      </c>
      <c r="V11" s="86">
        <v>42.6</v>
      </c>
      <c r="W11" s="86">
        <v>103.2</v>
      </c>
      <c r="X11" s="86">
        <v>119.4</v>
      </c>
      <c r="Y11" s="86"/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">
      <c r="B12" s="27" t="s">
        <v>12</v>
      </c>
      <c r="C12" s="90">
        <f t="shared" si="0"/>
        <v>630.6</v>
      </c>
      <c r="D12" s="91">
        <v>15.5</v>
      </c>
      <c r="E12" s="86">
        <v>6.8</v>
      </c>
      <c r="F12" s="86">
        <v>3.8</v>
      </c>
      <c r="G12" s="86">
        <v>-21.1</v>
      </c>
      <c r="H12" s="86">
        <v>6.5</v>
      </c>
      <c r="I12" s="86">
        <v>1.7</v>
      </c>
      <c r="J12" s="86">
        <v>3.9</v>
      </c>
      <c r="K12" s="86">
        <v>1.6</v>
      </c>
      <c r="L12" s="86">
        <v>11</v>
      </c>
      <c r="M12" s="86">
        <v>18.3</v>
      </c>
      <c r="N12" s="86">
        <v>8.1</v>
      </c>
      <c r="O12" s="86">
        <v>3.9</v>
      </c>
      <c r="P12" s="86">
        <v>25.7</v>
      </c>
      <c r="Q12" s="86">
        <v>2</v>
      </c>
      <c r="R12" s="92">
        <v>0.4</v>
      </c>
      <c r="S12" s="92">
        <v>9.9</v>
      </c>
      <c r="T12" s="86">
        <v>63.5</v>
      </c>
      <c r="U12" s="92">
        <v>304.4</v>
      </c>
      <c r="V12" s="86">
        <v>26.3</v>
      </c>
      <c r="W12" s="86">
        <v>123.5</v>
      </c>
      <c r="X12" s="86">
        <v>14.9</v>
      </c>
      <c r="Y12" s="86"/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">
      <c r="B13" s="27" t="s">
        <v>13</v>
      </c>
      <c r="C13" s="90">
        <f t="shared" si="0"/>
        <v>2598.2</v>
      </c>
      <c r="D13" s="91">
        <v>20.4</v>
      </c>
      <c r="E13" s="86">
        <v>19.5</v>
      </c>
      <c r="F13" s="86">
        <v>26.7</v>
      </c>
      <c r="G13" s="86">
        <v>113.8</v>
      </c>
      <c r="H13" s="86">
        <v>18.7</v>
      </c>
      <c r="I13" s="86">
        <v>55.1</v>
      </c>
      <c r="J13" s="86">
        <v>12</v>
      </c>
      <c r="K13" s="86">
        <v>13.7</v>
      </c>
      <c r="L13" s="86">
        <v>191.5</v>
      </c>
      <c r="M13" s="86">
        <v>39.8</v>
      </c>
      <c r="N13" s="86">
        <v>13.9</v>
      </c>
      <c r="O13" s="86">
        <v>53.6</v>
      </c>
      <c r="P13" s="86">
        <v>35.6</v>
      </c>
      <c r="Q13" s="86">
        <v>23.3</v>
      </c>
      <c r="R13" s="92">
        <v>92.1</v>
      </c>
      <c r="S13" s="92">
        <v>121.6</v>
      </c>
      <c r="T13" s="86">
        <v>574.3</v>
      </c>
      <c r="U13" s="86">
        <v>82.6</v>
      </c>
      <c r="V13" s="86">
        <v>660</v>
      </c>
      <c r="W13" s="86">
        <v>287.6</v>
      </c>
      <c r="X13" s="86">
        <v>142.4</v>
      </c>
      <c r="Y13" s="86"/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">
      <c r="B14" s="27" t="s">
        <v>14</v>
      </c>
      <c r="C14" s="90">
        <f t="shared" si="0"/>
        <v>1316.2</v>
      </c>
      <c r="D14" s="91">
        <v>22.7</v>
      </c>
      <c r="E14" s="86">
        <v>48.4</v>
      </c>
      <c r="F14" s="86">
        <v>17.3</v>
      </c>
      <c r="G14" s="86">
        <v>53.2</v>
      </c>
      <c r="H14" s="86">
        <v>45.3</v>
      </c>
      <c r="I14" s="86">
        <v>46.9</v>
      </c>
      <c r="J14" s="86">
        <v>37.9</v>
      </c>
      <c r="K14" s="86">
        <v>106.4</v>
      </c>
      <c r="L14" s="86">
        <v>53.7</v>
      </c>
      <c r="M14" s="86">
        <v>92.4</v>
      </c>
      <c r="N14" s="86">
        <v>121.3</v>
      </c>
      <c r="O14" s="86">
        <v>114.4</v>
      </c>
      <c r="P14" s="86">
        <v>115.5</v>
      </c>
      <c r="Q14" s="86">
        <v>118.9</v>
      </c>
      <c r="R14" s="92">
        <v>44</v>
      </c>
      <c r="S14" s="92">
        <v>44.3</v>
      </c>
      <c r="T14" s="86">
        <v>14.8</v>
      </c>
      <c r="U14" s="92">
        <v>19.4</v>
      </c>
      <c r="V14" s="86">
        <v>26</v>
      </c>
      <c r="W14" s="86">
        <v>117.2</v>
      </c>
      <c r="X14" s="86">
        <v>56.2</v>
      </c>
      <c r="Y14" s="86"/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228.3</v>
      </c>
      <c r="D15" s="91">
        <v>11</v>
      </c>
      <c r="E15" s="86">
        <v>6.4</v>
      </c>
      <c r="F15" s="86">
        <v>9.5</v>
      </c>
      <c r="G15" s="86">
        <v>10.4</v>
      </c>
      <c r="H15" s="86">
        <v>13.8</v>
      </c>
      <c r="I15" s="86">
        <v>7.9</v>
      </c>
      <c r="J15" s="86">
        <v>11.4</v>
      </c>
      <c r="K15" s="86">
        <v>14.6</v>
      </c>
      <c r="L15" s="86">
        <v>9.7</v>
      </c>
      <c r="M15" s="86">
        <v>14.9</v>
      </c>
      <c r="N15" s="86">
        <v>9.7</v>
      </c>
      <c r="O15" s="86">
        <v>8.7</v>
      </c>
      <c r="P15" s="86">
        <v>8.8</v>
      </c>
      <c r="Q15" s="86">
        <v>12.9</v>
      </c>
      <c r="R15" s="92">
        <v>9.2</v>
      </c>
      <c r="S15" s="92">
        <v>15.9</v>
      </c>
      <c r="T15" s="86">
        <v>10.6</v>
      </c>
      <c r="U15" s="92">
        <v>7.5</v>
      </c>
      <c r="V15" s="86">
        <v>16</v>
      </c>
      <c r="W15" s="86">
        <v>9.8</v>
      </c>
      <c r="X15" s="86">
        <v>9.6</v>
      </c>
      <c r="Y15" s="86"/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390.7</v>
      </c>
      <c r="D16" s="91">
        <v>42.6</v>
      </c>
      <c r="E16" s="86">
        <v>3.3</v>
      </c>
      <c r="F16" s="86">
        <v>4.1</v>
      </c>
      <c r="G16" s="86">
        <v>6.9</v>
      </c>
      <c r="H16" s="86">
        <v>3.6</v>
      </c>
      <c r="I16" s="86">
        <v>76.8</v>
      </c>
      <c r="J16" s="86">
        <v>5</v>
      </c>
      <c r="K16" s="86">
        <v>10.8</v>
      </c>
      <c r="L16" s="86">
        <v>6.3</v>
      </c>
      <c r="M16" s="86">
        <v>-2.9</v>
      </c>
      <c r="N16" s="86">
        <v>15.1</v>
      </c>
      <c r="O16" s="86">
        <v>13.2</v>
      </c>
      <c r="P16" s="86">
        <v>26.7</v>
      </c>
      <c r="Q16" s="86">
        <v>12</v>
      </c>
      <c r="R16" s="92">
        <v>17.9</v>
      </c>
      <c r="S16" s="92">
        <v>39.1</v>
      </c>
      <c r="T16" s="86">
        <v>49.1</v>
      </c>
      <c r="U16" s="92">
        <v>8.9</v>
      </c>
      <c r="V16" s="86">
        <v>13.5</v>
      </c>
      <c r="W16" s="86">
        <v>15.7</v>
      </c>
      <c r="X16" s="92">
        <v>23</v>
      </c>
      <c r="Y16" s="86"/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21814.699999999997</v>
      </c>
      <c r="D17" s="101">
        <f>SUM(D6:D8)</f>
        <v>1408.5</v>
      </c>
      <c r="E17" s="101">
        <f aca="true" t="shared" si="2" ref="E17:Y17">SUM(E6:E8)</f>
        <v>178.00000000000003</v>
      </c>
      <c r="F17" s="101">
        <f t="shared" si="2"/>
        <v>173.5</v>
      </c>
      <c r="G17" s="101">
        <f t="shared" si="2"/>
        <v>754.3</v>
      </c>
      <c r="H17" s="101">
        <f t="shared" si="2"/>
        <v>2923.6</v>
      </c>
      <c r="I17" s="101">
        <f t="shared" si="2"/>
        <v>2365</v>
      </c>
      <c r="J17" s="101">
        <f t="shared" si="2"/>
        <v>330.79999999999995</v>
      </c>
      <c r="K17" s="101">
        <f t="shared" si="2"/>
        <v>1702.1</v>
      </c>
      <c r="L17" s="101">
        <f t="shared" si="2"/>
        <v>688.5</v>
      </c>
      <c r="M17" s="101">
        <f>SUM(M6:M8)</f>
        <v>781.3999999999999</v>
      </c>
      <c r="N17" s="101">
        <f t="shared" si="2"/>
        <v>408.5</v>
      </c>
      <c r="O17" s="101">
        <f t="shared" si="2"/>
        <v>362.4</v>
      </c>
      <c r="P17" s="101">
        <f t="shared" si="2"/>
        <v>378.1</v>
      </c>
      <c r="Q17" s="101">
        <f t="shared" si="2"/>
        <v>776.3999999999999</v>
      </c>
      <c r="R17" s="101">
        <f t="shared" si="2"/>
        <v>1398.5</v>
      </c>
      <c r="S17" s="101">
        <f>SUM(S6:S8)</f>
        <v>740.8</v>
      </c>
      <c r="T17" s="101">
        <f>SUM(T6:T8)</f>
        <v>974.1999999999999</v>
      </c>
      <c r="U17" s="101">
        <f t="shared" si="2"/>
        <v>1344.1</v>
      </c>
      <c r="V17" s="101">
        <f t="shared" si="2"/>
        <v>1533.1999999999998</v>
      </c>
      <c r="W17" s="101">
        <f t="shared" si="2"/>
        <v>1228.3</v>
      </c>
      <c r="X17" s="101">
        <f t="shared" si="2"/>
        <v>1364.5000000000002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">
      <c r="B18" s="102" t="s">
        <v>18</v>
      </c>
      <c r="C18" s="103">
        <f>C19+C23+C29+C32+C33+C35+C36+C42+C46+C50+C53+C58+C64+C71+C76+C77+C81+C31+C67+C75+C73+C74+C78+C79+C80+C70+C34</f>
        <v>35175.322909999995</v>
      </c>
      <c r="D18" s="103">
        <f aca="true" t="shared" si="3" ref="D18:AA18">D19+D23+D29+D32+D33+D35+D36+D42+D46+D50+D53+D58+D64+D71+D76+D77+D81+D31+D67+D75+D73+D74+D78+D79+D80+D70+D34</f>
        <v>67.47</v>
      </c>
      <c r="E18" s="103">
        <f t="shared" si="3"/>
        <v>203.52999999999997</v>
      </c>
      <c r="F18" s="103">
        <f t="shared" si="3"/>
        <v>538.154</v>
      </c>
      <c r="G18" s="103">
        <f t="shared" si="3"/>
        <v>1468.6239999999998</v>
      </c>
      <c r="H18" s="103">
        <f t="shared" si="3"/>
        <v>1181.751</v>
      </c>
      <c r="I18" s="103">
        <f t="shared" si="3"/>
        <v>355.765</v>
      </c>
      <c r="J18" s="103">
        <f t="shared" si="3"/>
        <v>1848.3719999999998</v>
      </c>
      <c r="K18" s="103">
        <f t="shared" si="3"/>
        <v>1854.559</v>
      </c>
      <c r="L18" s="103">
        <f t="shared" si="3"/>
        <v>1860.857</v>
      </c>
      <c r="M18" s="103">
        <f t="shared" si="3"/>
        <v>448.04</v>
      </c>
      <c r="N18" s="103">
        <f t="shared" si="3"/>
        <v>0</v>
      </c>
      <c r="O18" s="103">
        <f t="shared" si="3"/>
        <v>1635.6309999999999</v>
      </c>
      <c r="P18" s="103">
        <f t="shared" si="3"/>
        <v>1192.6629999999998</v>
      </c>
      <c r="Q18" s="103">
        <f t="shared" si="3"/>
        <v>0</v>
      </c>
      <c r="R18" s="103">
        <f t="shared" si="3"/>
        <v>2642.0320000000006</v>
      </c>
      <c r="S18" s="103">
        <f t="shared" si="3"/>
        <v>0</v>
      </c>
      <c r="T18" s="103">
        <f t="shared" si="3"/>
        <v>7591.382999999999</v>
      </c>
      <c r="U18" s="103">
        <f t="shared" si="3"/>
        <v>4125.9259999999995</v>
      </c>
      <c r="V18" s="103">
        <f t="shared" si="3"/>
        <v>0</v>
      </c>
      <c r="W18" s="103">
        <f t="shared" si="3"/>
        <v>0</v>
      </c>
      <c r="X18" s="103">
        <f t="shared" si="3"/>
        <v>-0.11879999999999999</v>
      </c>
      <c r="Y18" s="103">
        <f t="shared" si="3"/>
        <v>0</v>
      </c>
      <c r="Z18" s="103">
        <f t="shared" si="3"/>
        <v>0</v>
      </c>
      <c r="AA18" s="103">
        <f t="shared" si="3"/>
        <v>27014.638199999998</v>
      </c>
      <c r="AB18" s="104">
        <f aca="true" t="shared" si="4" ref="AB18:AB81">AA18-C18</f>
        <v>-8160.684709999998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">
      <c r="A19" s="66">
        <v>10116</v>
      </c>
      <c r="B19" s="105" t="s">
        <v>19</v>
      </c>
      <c r="C19" s="106">
        <f aca="true" t="shared" si="5" ref="C19:AA19">SUM(C20:C22)</f>
        <v>4723.374</v>
      </c>
      <c r="D19" s="106">
        <f t="shared" si="5"/>
        <v>0.19</v>
      </c>
      <c r="E19" s="106">
        <f t="shared" si="5"/>
        <v>5.933</v>
      </c>
      <c r="F19" s="106">
        <f t="shared" si="5"/>
        <v>5.666</v>
      </c>
      <c r="G19" s="106">
        <f t="shared" si="5"/>
        <v>73.84299999999999</v>
      </c>
      <c r="H19" s="106">
        <f t="shared" si="5"/>
        <v>68.67</v>
      </c>
      <c r="I19" s="106">
        <f t="shared" si="5"/>
        <v>28.318</v>
      </c>
      <c r="J19" s="106">
        <f t="shared" si="5"/>
        <v>703.112</v>
      </c>
      <c r="K19" s="106">
        <f t="shared" si="5"/>
        <v>69.503</v>
      </c>
      <c r="L19" s="106">
        <f t="shared" si="5"/>
        <v>366.43399999999997</v>
      </c>
      <c r="M19" s="106">
        <f t="shared" si="5"/>
        <v>2.459</v>
      </c>
      <c r="N19" s="106">
        <f t="shared" si="5"/>
        <v>0</v>
      </c>
      <c r="O19" s="106">
        <f t="shared" si="5"/>
        <v>8.961</v>
      </c>
      <c r="P19" s="106">
        <f t="shared" si="5"/>
        <v>133.475</v>
      </c>
      <c r="Q19" s="106">
        <f t="shared" si="5"/>
        <v>0</v>
      </c>
      <c r="R19" s="106">
        <f t="shared" si="5"/>
        <v>106.507</v>
      </c>
      <c r="S19" s="106">
        <f t="shared" si="5"/>
        <v>0</v>
      </c>
      <c r="T19" s="106">
        <f>SUM(T20:T22)</f>
        <v>219.892</v>
      </c>
      <c r="U19" s="106">
        <f t="shared" si="5"/>
        <v>1281.5729999999999</v>
      </c>
      <c r="V19" s="106">
        <f t="shared" si="5"/>
        <v>0</v>
      </c>
      <c r="W19" s="106">
        <f t="shared" si="5"/>
        <v>0</v>
      </c>
      <c r="X19" s="106">
        <f t="shared" si="5"/>
        <v>-0.118</v>
      </c>
      <c r="Y19" s="106">
        <f t="shared" si="5"/>
        <v>0</v>
      </c>
      <c r="Z19" s="106">
        <f>SUM(Z20:Z22)</f>
        <v>0</v>
      </c>
      <c r="AA19" s="106">
        <f t="shared" si="5"/>
        <v>3074.4179999999997</v>
      </c>
      <c r="AB19" s="104">
        <f t="shared" si="4"/>
        <v>-1648.9560000000001</v>
      </c>
      <c r="AD19" s="72"/>
      <c r="AE19" s="67"/>
      <c r="AF19" s="67"/>
      <c r="AG19" s="68"/>
      <c r="AH19" s="68"/>
      <c r="AI19" s="68"/>
      <c r="AJ19" s="68"/>
      <c r="AK19" s="68"/>
      <c r="AL19" s="68"/>
      <c r="AM19" s="68"/>
      <c r="AN19" s="68"/>
    </row>
    <row r="20" spans="2:33" ht="15">
      <c r="B20" s="107" t="s">
        <v>20</v>
      </c>
      <c r="C20" s="108">
        <f>3135.572+18.52+1.1+39.61</f>
        <v>3194.802</v>
      </c>
      <c r="D20" s="81"/>
      <c r="E20" s="81">
        <v>1.75</v>
      </c>
      <c r="F20" s="81"/>
      <c r="G20" s="81">
        <v>41.858</v>
      </c>
      <c r="H20" s="81"/>
      <c r="I20" s="81">
        <v>23.326</v>
      </c>
      <c r="J20" s="86">
        <v>685.321</v>
      </c>
      <c r="K20" s="81">
        <v>25.82</v>
      </c>
      <c r="L20" s="81">
        <v>326.255</v>
      </c>
      <c r="M20" s="81"/>
      <c r="N20" s="81"/>
      <c r="O20" s="81"/>
      <c r="P20" s="81"/>
      <c r="Q20" s="81"/>
      <c r="R20" s="81"/>
      <c r="S20" s="81"/>
      <c r="T20" s="81">
        <v>191.207</v>
      </c>
      <c r="U20" s="81">
        <v>1239.495</v>
      </c>
      <c r="V20" s="86"/>
      <c r="W20" s="86"/>
      <c r="X20" s="86"/>
      <c r="Y20" s="81"/>
      <c r="Z20" s="81"/>
      <c r="AA20" s="81">
        <f>SUM(D20:Z20)</f>
        <v>2535.0319999999997</v>
      </c>
      <c r="AB20" s="104">
        <f t="shared" si="4"/>
        <v>-659.7700000000004</v>
      </c>
      <c r="AC20" s="71"/>
      <c r="AD20" s="67" t="s">
        <v>21</v>
      </c>
      <c r="AE20" s="109">
        <f>AA19</f>
        <v>3074.4179999999997</v>
      </c>
      <c r="AG20" s="72"/>
    </row>
    <row r="21" spans="2:33" ht="15">
      <c r="B21" s="107" t="s">
        <v>22</v>
      </c>
      <c r="C21" s="108">
        <v>131.641</v>
      </c>
      <c r="D21" s="81"/>
      <c r="E21" s="81"/>
      <c r="F21" s="81">
        <v>0.141</v>
      </c>
      <c r="G21" s="81"/>
      <c r="H21" s="81"/>
      <c r="I21" s="81"/>
      <c r="J21" s="86">
        <v>0.045</v>
      </c>
      <c r="K21" s="81"/>
      <c r="L21" s="81"/>
      <c r="M21" s="81"/>
      <c r="N21" s="81"/>
      <c r="O21" s="81">
        <v>0.019</v>
      </c>
      <c r="P21" s="81">
        <v>8.16</v>
      </c>
      <c r="Q21" s="81"/>
      <c r="R21" s="81">
        <v>3.025</v>
      </c>
      <c r="S21" s="81"/>
      <c r="T21" s="81">
        <v>0.549</v>
      </c>
      <c r="U21" s="81">
        <v>-0.077</v>
      </c>
      <c r="V21" s="86"/>
      <c r="W21" s="86"/>
      <c r="X21" s="86">
        <v>-0.118</v>
      </c>
      <c r="Y21" s="81"/>
      <c r="Z21" s="81"/>
      <c r="AA21" s="81">
        <f>SUM(D21:Z21)</f>
        <v>11.744</v>
      </c>
      <c r="AB21" s="104">
        <f t="shared" si="4"/>
        <v>-119.89699999999999</v>
      </c>
      <c r="AC21" s="71"/>
      <c r="AD21" s="67" t="s">
        <v>23</v>
      </c>
      <c r="AE21" s="109">
        <f>AA23</f>
        <v>14171.6032</v>
      </c>
      <c r="AG21" s="72"/>
    </row>
    <row r="22" spans="2:33" ht="15">
      <c r="B22" s="107" t="s">
        <v>24</v>
      </c>
      <c r="C22" s="108">
        <f>1021.618+64+221.313+25+5+60</f>
        <v>1396.931</v>
      </c>
      <c r="D22" s="81">
        <v>0.19</v>
      </c>
      <c r="E22" s="81">
        <v>4.183</v>
      </c>
      <c r="F22" s="81">
        <v>5.525</v>
      </c>
      <c r="G22" s="81">
        <v>31.985</v>
      </c>
      <c r="H22" s="81">
        <v>68.67</v>
      </c>
      <c r="I22" s="81">
        <v>4.992</v>
      </c>
      <c r="J22" s="81">
        <v>17.746</v>
      </c>
      <c r="K22" s="81">
        <v>43.683</v>
      </c>
      <c r="L22" s="81">
        <v>40.179</v>
      </c>
      <c r="M22" s="81">
        <v>2.459</v>
      </c>
      <c r="N22" s="81"/>
      <c r="O22" s="81">
        <v>8.942</v>
      </c>
      <c r="P22" s="81">
        <v>125.315</v>
      </c>
      <c r="Q22" s="81"/>
      <c r="R22" s="81">
        <v>103.482</v>
      </c>
      <c r="S22" s="81"/>
      <c r="T22" s="81">
        <v>28.136</v>
      </c>
      <c r="U22" s="81">
        <v>42.155</v>
      </c>
      <c r="V22" s="81"/>
      <c r="W22" s="81"/>
      <c r="X22" s="81"/>
      <c r="Y22" s="81"/>
      <c r="Z22" s="81"/>
      <c r="AA22" s="81">
        <f>SUM(D22:Z22)</f>
        <v>527.642</v>
      </c>
      <c r="AB22" s="104">
        <f t="shared" si="4"/>
        <v>-869.289</v>
      </c>
      <c r="AC22" s="71"/>
      <c r="AD22" s="67" t="s">
        <v>25</v>
      </c>
      <c r="AE22" s="109">
        <f>$AA$29+$AA$31</f>
        <v>184.12000000000003</v>
      </c>
      <c r="AG22" s="72"/>
    </row>
    <row r="23" spans="1:40" s="66" customFormat="1" ht="15">
      <c r="A23" s="66">
        <v>7000</v>
      </c>
      <c r="B23" s="105" t="s">
        <v>26</v>
      </c>
      <c r="C23" s="106">
        <f aca="true" t="shared" si="6" ref="C23:AA23">SUM(C24:C28)</f>
        <v>19606.94</v>
      </c>
      <c r="D23" s="106">
        <f t="shared" si="6"/>
        <v>0</v>
      </c>
      <c r="E23" s="106">
        <f t="shared" si="6"/>
        <v>43.018</v>
      </c>
      <c r="F23" s="106">
        <f t="shared" si="6"/>
        <v>86.75999999999999</v>
      </c>
      <c r="G23" s="106">
        <f t="shared" si="6"/>
        <v>9.808</v>
      </c>
      <c r="H23" s="106">
        <f t="shared" si="6"/>
        <v>0</v>
      </c>
      <c r="I23" s="106">
        <f t="shared" si="6"/>
        <v>237.683</v>
      </c>
      <c r="J23" s="106">
        <f t="shared" si="6"/>
        <v>752.941</v>
      </c>
      <c r="K23" s="106">
        <f t="shared" si="6"/>
        <v>1559.971</v>
      </c>
      <c r="L23" s="106">
        <f t="shared" si="6"/>
        <v>1170.4889999999998</v>
      </c>
      <c r="M23" s="106">
        <f t="shared" si="6"/>
        <v>0.015</v>
      </c>
      <c r="N23" s="106">
        <f t="shared" si="6"/>
        <v>0</v>
      </c>
      <c r="O23" s="106">
        <f t="shared" si="6"/>
        <v>245.264</v>
      </c>
      <c r="P23" s="106">
        <f t="shared" si="6"/>
        <v>73.98599999999999</v>
      </c>
      <c r="Q23" s="106">
        <f>SUM(Q24:Q28)</f>
        <v>0</v>
      </c>
      <c r="R23" s="106">
        <f t="shared" si="6"/>
        <v>2238.1000000000004</v>
      </c>
      <c r="S23" s="106">
        <f t="shared" si="6"/>
        <v>0</v>
      </c>
      <c r="T23" s="106">
        <f>SUM(T24:T28)</f>
        <v>6578.099</v>
      </c>
      <c r="U23" s="106">
        <f>SUM(U24:U28)</f>
        <v>1175.4699999999998</v>
      </c>
      <c r="V23" s="106">
        <f t="shared" si="6"/>
        <v>0</v>
      </c>
      <c r="W23" s="106">
        <f t="shared" si="6"/>
        <v>0</v>
      </c>
      <c r="X23" s="106">
        <f t="shared" si="6"/>
        <v>-0.0008</v>
      </c>
      <c r="Y23" s="106">
        <f t="shared" si="6"/>
        <v>0</v>
      </c>
      <c r="Z23" s="106">
        <f>SUM(Z24:Z28)</f>
        <v>0</v>
      </c>
      <c r="AA23" s="106">
        <f t="shared" si="6"/>
        <v>14171.6032</v>
      </c>
      <c r="AB23" s="104">
        <f t="shared" si="4"/>
        <v>-5435.336799999999</v>
      </c>
      <c r="AC23" s="65"/>
      <c r="AD23" s="67" t="s">
        <v>27</v>
      </c>
      <c r="AE23" s="109">
        <f>$AA$32+$AA$33+$AA$36+$AA$42+$AA$46+$AA$35+$AA$34</f>
        <v>1777.9530000000002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">
      <c r="B24" s="107" t="s">
        <v>20</v>
      </c>
      <c r="C24" s="108">
        <f>15464.863+1.4</f>
        <v>15466.262999999999</v>
      </c>
      <c r="D24" s="81"/>
      <c r="E24" s="81">
        <v>4.195</v>
      </c>
      <c r="F24" s="81"/>
      <c r="G24" s="81"/>
      <c r="H24" s="81"/>
      <c r="I24" s="81">
        <v>93.452</v>
      </c>
      <c r="J24" s="86">
        <f>571.764+125.167+15.25</f>
        <v>712.181</v>
      </c>
      <c r="K24" s="81">
        <f>705.671+752.89</f>
        <v>1458.5610000000001</v>
      </c>
      <c r="L24" s="81">
        <f>423.685+686.355</f>
        <v>1110.04</v>
      </c>
      <c r="M24" s="81"/>
      <c r="N24" s="81"/>
      <c r="O24" s="81"/>
      <c r="P24" s="81">
        <v>4.146</v>
      </c>
      <c r="Q24" s="81"/>
      <c r="R24" s="81">
        <f>161.879+1610.601+261.58</f>
        <v>2034.06</v>
      </c>
      <c r="S24" s="81"/>
      <c r="T24" s="81">
        <f>4027.52+2330.334+42.654</f>
        <v>6400.508</v>
      </c>
      <c r="U24" s="81">
        <f>565.984+571.491</f>
        <v>1137.475</v>
      </c>
      <c r="V24" s="86"/>
      <c r="W24" s="86"/>
      <c r="X24" s="86"/>
      <c r="Y24" s="81"/>
      <c r="Z24" s="81"/>
      <c r="AA24" s="81">
        <f>SUM(D24:Z24)</f>
        <v>12954.618</v>
      </c>
      <c r="AB24" s="104">
        <f t="shared" si="4"/>
        <v>-2511.6449999999986</v>
      </c>
      <c r="AC24" s="71"/>
      <c r="AD24" s="67" t="s">
        <v>28</v>
      </c>
      <c r="AE24" s="109">
        <f>$AA$64+$AA$67+AA74</f>
        <v>1812.5469999999998</v>
      </c>
      <c r="AG24" s="72"/>
    </row>
    <row r="25" spans="2:33" ht="15">
      <c r="B25" s="107" t="s">
        <v>29</v>
      </c>
      <c r="C25" s="108">
        <v>11.926</v>
      </c>
      <c r="D25" s="81"/>
      <c r="E25" s="81"/>
      <c r="F25" s="81">
        <v>0.198</v>
      </c>
      <c r="G25" s="81"/>
      <c r="H25" s="81"/>
      <c r="I25" s="81"/>
      <c r="J25" s="86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6"/>
      <c r="W25" s="86"/>
      <c r="X25" s="86"/>
      <c r="Y25" s="81"/>
      <c r="Z25" s="81"/>
      <c r="AA25" s="81">
        <f>SUM(D25:Z25)</f>
        <v>0.198</v>
      </c>
      <c r="AB25" s="104">
        <f t="shared" si="4"/>
        <v>-11.728</v>
      </c>
      <c r="AC25" s="71"/>
      <c r="AD25" s="67" t="s">
        <v>30</v>
      </c>
      <c r="AE25" s="109">
        <f>$AA$53</f>
        <v>566.252</v>
      </c>
      <c r="AG25" s="72"/>
    </row>
    <row r="26" spans="2:33" ht="15">
      <c r="B26" s="107" t="s">
        <v>31</v>
      </c>
      <c r="C26" s="108">
        <v>1065.343</v>
      </c>
      <c r="D26" s="81"/>
      <c r="E26" s="81"/>
      <c r="F26" s="81">
        <v>55.43</v>
      </c>
      <c r="G26" s="81"/>
      <c r="H26" s="81"/>
      <c r="I26" s="81">
        <v>124.975</v>
      </c>
      <c r="J26" s="86">
        <v>30.18</v>
      </c>
      <c r="K26" s="81">
        <v>84.243</v>
      </c>
      <c r="L26" s="81">
        <v>47.022</v>
      </c>
      <c r="M26" s="81"/>
      <c r="N26" s="81"/>
      <c r="O26" s="81">
        <v>160.949</v>
      </c>
      <c r="P26" s="81">
        <v>36.053</v>
      </c>
      <c r="Q26" s="81"/>
      <c r="R26" s="81">
        <v>120.873</v>
      </c>
      <c r="S26" s="81"/>
      <c r="T26" s="81">
        <v>121.918</v>
      </c>
      <c r="U26" s="81">
        <v>16.893</v>
      </c>
      <c r="V26" s="86"/>
      <c r="W26" s="86"/>
      <c r="X26" s="86"/>
      <c r="Y26" s="81"/>
      <c r="Z26" s="81"/>
      <c r="AA26" s="81">
        <f>SUM(D26:Z26)</f>
        <v>798.5360000000001</v>
      </c>
      <c r="AB26" s="104">
        <f t="shared" si="4"/>
        <v>-266.807</v>
      </c>
      <c r="AC26" s="71"/>
      <c r="AD26" s="67" t="s">
        <v>32</v>
      </c>
      <c r="AE26" s="109">
        <f>$AA$58</f>
        <v>517.1129999999999</v>
      </c>
      <c r="AG26" s="72"/>
    </row>
    <row r="27" spans="2:33" ht="15">
      <c r="B27" s="107" t="s">
        <v>22</v>
      </c>
      <c r="C27" s="108">
        <v>751.552</v>
      </c>
      <c r="D27" s="81"/>
      <c r="E27" s="81"/>
      <c r="F27" s="81">
        <v>0.55</v>
      </c>
      <c r="G27" s="81">
        <v>6.019</v>
      </c>
      <c r="H27" s="81"/>
      <c r="I27" s="81">
        <v>1.766</v>
      </c>
      <c r="J27" s="86">
        <v>6.038</v>
      </c>
      <c r="K27" s="81"/>
      <c r="L27" s="81">
        <v>1.471</v>
      </c>
      <c r="M27" s="81"/>
      <c r="N27" s="81"/>
      <c r="O27" s="81">
        <v>19.479</v>
      </c>
      <c r="P27" s="81">
        <v>32.145</v>
      </c>
      <c r="Q27" s="81"/>
      <c r="R27" s="81">
        <v>75.713</v>
      </c>
      <c r="S27" s="81"/>
      <c r="T27" s="81">
        <v>36.189</v>
      </c>
      <c r="U27" s="81">
        <v>6.905</v>
      </c>
      <c r="V27" s="86"/>
      <c r="W27" s="86"/>
      <c r="X27" s="86"/>
      <c r="Y27" s="81"/>
      <c r="Z27" s="81"/>
      <c r="AA27" s="81">
        <f>SUM(D27:Z27)</f>
        <v>186.27499999999998</v>
      </c>
      <c r="AB27" s="104">
        <f t="shared" si="4"/>
        <v>-565.277</v>
      </c>
      <c r="AC27" s="71"/>
      <c r="AD27" s="67" t="s">
        <v>33</v>
      </c>
      <c r="AE27" s="109">
        <f>$AA$50+$AA$71+$AA$76+$AA$77+$AA$81+$AA$73+$AA$75+$AA$78+$AA$79+$AA$80</f>
        <v>4910.6320000000005</v>
      </c>
      <c r="AG27" s="72"/>
    </row>
    <row r="28" spans="2:33" ht="15">
      <c r="B28" s="107" t="s">
        <v>24</v>
      </c>
      <c r="C28" s="108">
        <f>2263.256+50-1.4</f>
        <v>2311.8559999999998</v>
      </c>
      <c r="D28" s="81"/>
      <c r="E28" s="81">
        <v>38.823</v>
      </c>
      <c r="F28" s="81">
        <f>26.582+4</f>
        <v>30.582</v>
      </c>
      <c r="G28" s="81">
        <v>3.789</v>
      </c>
      <c r="H28" s="81"/>
      <c r="I28" s="81">
        <f>14.06+3.43</f>
        <v>17.490000000000002</v>
      </c>
      <c r="J28" s="81">
        <v>4.542</v>
      </c>
      <c r="K28" s="81">
        <v>17.167</v>
      </c>
      <c r="L28" s="81">
        <v>11.956</v>
      </c>
      <c r="M28" s="81">
        <v>0.015</v>
      </c>
      <c r="N28" s="81"/>
      <c r="O28" s="81">
        <v>64.836</v>
      </c>
      <c r="P28" s="81">
        <v>1.642</v>
      </c>
      <c r="Q28" s="81"/>
      <c r="R28" s="81">
        <v>7.454</v>
      </c>
      <c r="S28" s="81"/>
      <c r="T28" s="81">
        <f>19.232+0.252</f>
        <v>19.483999999999998</v>
      </c>
      <c r="U28" s="81">
        <f>13.906+0.291</f>
        <v>14.197000000000001</v>
      </c>
      <c r="V28" s="81"/>
      <c r="W28" s="81"/>
      <c r="X28" s="81">
        <v>-0.0008</v>
      </c>
      <c r="Y28" s="81"/>
      <c r="Z28" s="81"/>
      <c r="AA28" s="81">
        <f>SUM(D28:Z28)</f>
        <v>231.9762</v>
      </c>
      <c r="AB28" s="104">
        <f t="shared" si="4"/>
        <v>-2079.8797999999997</v>
      </c>
      <c r="AC28" s="71"/>
      <c r="AE28" s="111"/>
      <c r="AG28" s="72"/>
    </row>
    <row r="29" spans="2:33" ht="27.75">
      <c r="B29" s="105" t="s">
        <v>34</v>
      </c>
      <c r="C29" s="106">
        <f>C30</f>
        <v>897.231</v>
      </c>
      <c r="D29" s="106">
        <f aca="true" t="shared" si="7" ref="D29:AA29">D30</f>
        <v>0</v>
      </c>
      <c r="E29" s="106">
        <f t="shared" si="7"/>
        <v>27.268</v>
      </c>
      <c r="F29" s="106">
        <f t="shared" si="7"/>
        <v>0</v>
      </c>
      <c r="G29" s="106">
        <f t="shared" si="7"/>
        <v>0</v>
      </c>
      <c r="H29" s="106">
        <f t="shared" si="7"/>
        <v>3.283</v>
      </c>
      <c r="I29" s="106">
        <f t="shared" si="7"/>
        <v>0</v>
      </c>
      <c r="J29" s="106">
        <f t="shared" si="7"/>
        <v>21.435</v>
      </c>
      <c r="K29" s="106">
        <f t="shared" si="7"/>
        <v>0</v>
      </c>
      <c r="L29" s="106">
        <f t="shared" si="7"/>
        <v>0</v>
      </c>
      <c r="M29" s="106">
        <f t="shared" si="7"/>
        <v>0</v>
      </c>
      <c r="N29" s="106">
        <f t="shared" si="7"/>
        <v>0</v>
      </c>
      <c r="O29" s="106">
        <f t="shared" si="7"/>
        <v>86.9</v>
      </c>
      <c r="P29" s="106">
        <f t="shared" si="7"/>
        <v>0</v>
      </c>
      <c r="Q29" s="106">
        <f>Q30</f>
        <v>0</v>
      </c>
      <c r="R29" s="106">
        <f>R30</f>
        <v>10.131</v>
      </c>
      <c r="S29" s="106">
        <f t="shared" si="7"/>
        <v>0</v>
      </c>
      <c r="T29" s="106">
        <f t="shared" si="7"/>
        <v>0</v>
      </c>
      <c r="U29" s="106">
        <f t="shared" si="7"/>
        <v>35.103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184.12000000000003</v>
      </c>
      <c r="AB29" s="104">
        <f t="shared" si="4"/>
        <v>-713.111</v>
      </c>
      <c r="AC29" s="71"/>
      <c r="AE29" s="111"/>
      <c r="AG29" s="72"/>
    </row>
    <row r="30" spans="2:31" ht="15">
      <c r="B30" s="112" t="s">
        <v>35</v>
      </c>
      <c r="C30" s="113">
        <f>557.231+340</f>
        <v>897.231</v>
      </c>
      <c r="D30" s="86"/>
      <c r="E30" s="86">
        <v>27.268</v>
      </c>
      <c r="F30" s="86"/>
      <c r="G30" s="86"/>
      <c r="H30" s="86">
        <v>3.283</v>
      </c>
      <c r="I30" s="86"/>
      <c r="J30" s="86">
        <v>21.435</v>
      </c>
      <c r="K30" s="86"/>
      <c r="L30" s="86"/>
      <c r="M30" s="86"/>
      <c r="N30" s="86"/>
      <c r="O30" s="86">
        <v>86.9</v>
      </c>
      <c r="P30" s="86"/>
      <c r="Q30" s="86"/>
      <c r="R30" s="86">
        <v>10.131</v>
      </c>
      <c r="S30" s="86"/>
      <c r="T30" s="86"/>
      <c r="U30" s="86">
        <f>24.439+10.664</f>
        <v>35.103</v>
      </c>
      <c r="V30" s="86"/>
      <c r="W30" s="86"/>
      <c r="X30" s="86"/>
      <c r="Y30" s="113"/>
      <c r="Z30" s="113"/>
      <c r="AA30" s="81">
        <f aca="true" t="shared" si="8" ref="AA30:AA35">SUM(D30:Z30)</f>
        <v>184.12000000000003</v>
      </c>
      <c r="AB30" s="104">
        <f t="shared" si="4"/>
        <v>-713.111</v>
      </c>
      <c r="AE30" s="111"/>
    </row>
    <row r="31" spans="2:31" ht="42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 t="shared" si="8"/>
        <v>0</v>
      </c>
      <c r="AB31" s="104">
        <f t="shared" si="4"/>
        <v>0</v>
      </c>
      <c r="AE31" s="111"/>
    </row>
    <row r="32" spans="1:40" s="66" customFormat="1" ht="27.75">
      <c r="A32" s="66" t="s">
        <v>37</v>
      </c>
      <c r="B32" s="105" t="s">
        <v>38</v>
      </c>
      <c r="C32" s="106">
        <f>738.746+100+200</f>
        <v>1038.746</v>
      </c>
      <c r="D32" s="106"/>
      <c r="E32" s="106"/>
      <c r="F32" s="106">
        <v>3.13</v>
      </c>
      <c r="G32" s="106">
        <f>36.486+1.936+25.416+36.486</f>
        <v>100.32399999999998</v>
      </c>
      <c r="H32" s="106">
        <f>2.367+7.29</f>
        <v>9.657</v>
      </c>
      <c r="I32" s="106"/>
      <c r="J32" s="106"/>
      <c r="K32" s="106"/>
      <c r="L32" s="106">
        <f>22.297+5+22.297</f>
        <v>49.594</v>
      </c>
      <c r="M32" s="106">
        <v>15.205</v>
      </c>
      <c r="N32" s="106"/>
      <c r="O32" s="106"/>
      <c r="P32" s="106"/>
      <c r="Q32" s="106"/>
      <c r="R32" s="106">
        <f>87.161+1+87.161</f>
        <v>175.322</v>
      </c>
      <c r="S32" s="106"/>
      <c r="T32" s="106">
        <v>11.293</v>
      </c>
      <c r="U32" s="106">
        <v>100.8</v>
      </c>
      <c r="V32" s="106"/>
      <c r="W32" s="106"/>
      <c r="X32" s="106"/>
      <c r="Y32" s="106"/>
      <c r="Z32" s="106"/>
      <c r="AA32" s="106">
        <f t="shared" si="8"/>
        <v>465.325</v>
      </c>
      <c r="AB32" s="104">
        <f t="shared" si="4"/>
        <v>-573.421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2">
      <c r="B33" s="105" t="s">
        <v>39</v>
      </c>
      <c r="C33" s="106">
        <v>599.191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>
        <v>110.53</v>
      </c>
      <c r="Q33" s="106"/>
      <c r="R33" s="106"/>
      <c r="S33" s="106"/>
      <c r="T33" s="114"/>
      <c r="U33" s="106"/>
      <c r="V33" s="106"/>
      <c r="W33" s="106"/>
      <c r="X33" s="106"/>
      <c r="Y33" s="106"/>
      <c r="Z33" s="106"/>
      <c r="AA33" s="106">
        <f t="shared" si="8"/>
        <v>110.53</v>
      </c>
      <c r="AB33" s="104">
        <f t="shared" si="4"/>
        <v>-488.66100000000006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42">
      <c r="B34" s="105" t="s">
        <v>40</v>
      </c>
      <c r="C34" s="106">
        <v>343.157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>
        <v>343.156</v>
      </c>
      <c r="N34" s="106"/>
      <c r="O34" s="106"/>
      <c r="P34" s="106"/>
      <c r="Q34" s="106"/>
      <c r="R34" s="106"/>
      <c r="S34" s="106"/>
      <c r="T34" s="114"/>
      <c r="U34" s="106"/>
      <c r="V34" s="106"/>
      <c r="W34" s="106"/>
      <c r="X34" s="106"/>
      <c r="Y34" s="106"/>
      <c r="Z34" s="106"/>
      <c r="AA34" s="106">
        <f t="shared" si="8"/>
        <v>343.156</v>
      </c>
      <c r="AB34" s="104">
        <f t="shared" si="4"/>
        <v>-0.0009999999999763531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42">
      <c r="B35" s="105" t="s">
        <v>41</v>
      </c>
      <c r="C35" s="106">
        <v>88.249</v>
      </c>
      <c r="D35" s="106"/>
      <c r="E35" s="106"/>
      <c r="F35" s="106"/>
      <c r="G35" s="106"/>
      <c r="H35" s="106"/>
      <c r="I35" s="106"/>
      <c r="J35" s="106"/>
      <c r="K35" s="106">
        <v>60.472</v>
      </c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>
        <f t="shared" si="8"/>
        <v>60.472</v>
      </c>
      <c r="AB35" s="104">
        <f t="shared" si="4"/>
        <v>-27.776999999999994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">
      <c r="B36" s="105" t="s">
        <v>42</v>
      </c>
      <c r="C36" s="106">
        <f>SUM(C37:C41)</f>
        <v>642.185</v>
      </c>
      <c r="D36" s="106">
        <f>SUM(D37:D41)</f>
        <v>0</v>
      </c>
      <c r="E36" s="106">
        <f>SUM(E37:E41)</f>
        <v>0</v>
      </c>
      <c r="F36" s="106">
        <f>SUM(F37:F41)</f>
        <v>0</v>
      </c>
      <c r="G36" s="106">
        <f aca="true" t="shared" si="9" ref="G36:S36">SUM(G37:G41)</f>
        <v>15.269000000000002</v>
      </c>
      <c r="H36" s="106">
        <f t="shared" si="9"/>
        <v>0</v>
      </c>
      <c r="I36" s="106">
        <f t="shared" si="9"/>
        <v>0</v>
      </c>
      <c r="J36" s="106">
        <f t="shared" si="9"/>
        <v>0</v>
      </c>
      <c r="K36" s="106">
        <f t="shared" si="9"/>
        <v>0</v>
      </c>
      <c r="L36" s="106">
        <f t="shared" si="9"/>
        <v>193.76500000000001</v>
      </c>
      <c r="M36" s="106">
        <f t="shared" si="9"/>
        <v>0</v>
      </c>
      <c r="N36" s="106">
        <f t="shared" si="9"/>
        <v>0</v>
      </c>
      <c r="O36" s="106">
        <f t="shared" si="9"/>
        <v>0</v>
      </c>
      <c r="P36" s="106">
        <f t="shared" si="9"/>
        <v>8.21</v>
      </c>
      <c r="Q36" s="106">
        <f t="shared" si="9"/>
        <v>0</v>
      </c>
      <c r="R36" s="106">
        <f t="shared" si="9"/>
        <v>0.566</v>
      </c>
      <c r="S36" s="106">
        <f t="shared" si="9"/>
        <v>0</v>
      </c>
      <c r="T36" s="106">
        <f>SUM(T37:T41)</f>
        <v>0</v>
      </c>
      <c r="U36" s="106">
        <f>SUM(U37:U41)</f>
        <v>380.7</v>
      </c>
      <c r="V36" s="106">
        <f aca="true" t="shared" si="10" ref="V36:AA36">SUM(V37:V41)</f>
        <v>0</v>
      </c>
      <c r="W36" s="106">
        <f t="shared" si="10"/>
        <v>0</v>
      </c>
      <c r="X36" s="106">
        <f t="shared" si="10"/>
        <v>0</v>
      </c>
      <c r="Y36" s="106">
        <f t="shared" si="10"/>
        <v>0</v>
      </c>
      <c r="Z36" s="106">
        <f>SUM(Z37:Z41)</f>
        <v>0</v>
      </c>
      <c r="AA36" s="106">
        <f t="shared" si="10"/>
        <v>598.5100000000001</v>
      </c>
      <c r="AB36" s="104">
        <f t="shared" si="4"/>
        <v>-43.67499999999984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">
      <c r="B37" s="107" t="s">
        <v>20</v>
      </c>
      <c r="C37" s="108">
        <f>545.047+2.9</f>
        <v>547.947</v>
      </c>
      <c r="D37" s="81"/>
      <c r="E37" s="81"/>
      <c r="F37" s="81"/>
      <c r="G37" s="81">
        <v>7.142</v>
      </c>
      <c r="H37" s="81"/>
      <c r="I37" s="81"/>
      <c r="J37" s="86"/>
      <c r="K37" s="81"/>
      <c r="L37" s="81">
        <v>156.872</v>
      </c>
      <c r="M37" s="81"/>
      <c r="N37" s="81"/>
      <c r="O37" s="81"/>
      <c r="P37" s="110">
        <v>4.625</v>
      </c>
      <c r="Q37" s="81"/>
      <c r="R37" s="110"/>
      <c r="S37" s="81"/>
      <c r="T37" s="81"/>
      <c r="U37" s="81">
        <v>376.88</v>
      </c>
      <c r="V37" s="86"/>
      <c r="W37" s="86"/>
      <c r="X37" s="81"/>
      <c r="Y37" s="81"/>
      <c r="Z37" s="81"/>
      <c r="AA37" s="81">
        <f>SUM(D37:Z37)</f>
        <v>545.519</v>
      </c>
      <c r="AB37" s="104">
        <f t="shared" si="4"/>
        <v>-2.4279999999999973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">
      <c r="B38" s="107" t="s">
        <v>29</v>
      </c>
      <c r="C38" s="108">
        <v>2.424</v>
      </c>
      <c r="D38" s="81"/>
      <c r="E38" s="81"/>
      <c r="F38" s="81"/>
      <c r="G38" s="81">
        <v>1.796</v>
      </c>
      <c r="H38" s="81"/>
      <c r="I38" s="81"/>
      <c r="J38" s="86"/>
      <c r="K38" s="81"/>
      <c r="L38" s="81"/>
      <c r="M38" s="81"/>
      <c r="N38" s="81"/>
      <c r="O38" s="81"/>
      <c r="P38" s="110"/>
      <c r="Q38" s="81"/>
      <c r="R38" s="110"/>
      <c r="S38" s="81"/>
      <c r="T38" s="81"/>
      <c r="U38" s="81"/>
      <c r="V38" s="86"/>
      <c r="W38" s="86"/>
      <c r="X38" s="81"/>
      <c r="Y38" s="81"/>
      <c r="Z38" s="81"/>
      <c r="AA38" s="81">
        <f>SUM(D38:Z38)</f>
        <v>1.796</v>
      </c>
      <c r="AB38" s="104">
        <f t="shared" si="4"/>
        <v>-0.6279999999999999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">
      <c r="B39" s="107" t="s">
        <v>31</v>
      </c>
      <c r="C39" s="108">
        <v>3.7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10"/>
      <c r="Q39" s="81"/>
      <c r="R39" s="110"/>
      <c r="S39" s="81"/>
      <c r="T39" s="81"/>
      <c r="U39" s="81">
        <v>3.7</v>
      </c>
      <c r="V39" s="86"/>
      <c r="W39" s="86"/>
      <c r="X39" s="81"/>
      <c r="Y39" s="81"/>
      <c r="Z39" s="81"/>
      <c r="AA39" s="81">
        <f>SUM(D39:Z39)</f>
        <v>3.7</v>
      </c>
      <c r="AB39" s="104">
        <f t="shared" si="4"/>
        <v>0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">
      <c r="B40" s="107" t="s">
        <v>22</v>
      </c>
      <c r="C40" s="108">
        <f>17.276-2.9</f>
        <v>14.376</v>
      </c>
      <c r="D40" s="81"/>
      <c r="E40" s="81"/>
      <c r="F40" s="81"/>
      <c r="G40" s="81">
        <v>1.926</v>
      </c>
      <c r="H40" s="81"/>
      <c r="I40" s="81"/>
      <c r="J40" s="81"/>
      <c r="K40" s="81"/>
      <c r="L40" s="81"/>
      <c r="M40" s="81"/>
      <c r="N40" s="81"/>
      <c r="O40" s="81"/>
      <c r="P40" s="110">
        <v>3.585</v>
      </c>
      <c r="Q40" s="81"/>
      <c r="R40" s="110"/>
      <c r="S40" s="81"/>
      <c r="T40" s="81"/>
      <c r="U40" s="81"/>
      <c r="V40" s="86"/>
      <c r="W40" s="86"/>
      <c r="X40" s="81"/>
      <c r="Y40" s="81"/>
      <c r="Z40" s="81"/>
      <c r="AA40" s="81">
        <f>SUM(D40:Z40)</f>
        <v>5.511</v>
      </c>
      <c r="AB40" s="104">
        <f t="shared" si="4"/>
        <v>-8.864999999999998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">
      <c r="B41" s="107" t="s">
        <v>24</v>
      </c>
      <c r="C41" s="108">
        <v>73.738</v>
      </c>
      <c r="D41" s="81"/>
      <c r="E41" s="81"/>
      <c r="F41" s="81"/>
      <c r="G41" s="81">
        <v>4.405</v>
      </c>
      <c r="H41" s="81"/>
      <c r="I41" s="81"/>
      <c r="J41" s="81"/>
      <c r="K41" s="81"/>
      <c r="L41" s="81">
        <v>36.893</v>
      </c>
      <c r="M41" s="81"/>
      <c r="N41" s="81"/>
      <c r="O41" s="81"/>
      <c r="P41" s="81"/>
      <c r="Q41" s="81"/>
      <c r="R41" s="81">
        <v>0.566</v>
      </c>
      <c r="S41" s="81"/>
      <c r="T41" s="81"/>
      <c r="U41" s="81">
        <v>0.12</v>
      </c>
      <c r="V41" s="81"/>
      <c r="W41" s="81"/>
      <c r="X41" s="81"/>
      <c r="Y41" s="81"/>
      <c r="Z41" s="81"/>
      <c r="AA41" s="81">
        <f>SUM(D41:Z41)</f>
        <v>41.984</v>
      </c>
      <c r="AB41" s="104">
        <f t="shared" si="4"/>
        <v>-31.753999999999998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">
      <c r="B42" s="105" t="s">
        <v>43</v>
      </c>
      <c r="C42" s="106">
        <f aca="true" t="shared" si="11" ref="C42:S42">SUM(C43:C45)</f>
        <v>307.113</v>
      </c>
      <c r="D42" s="106">
        <f t="shared" si="11"/>
        <v>0</v>
      </c>
      <c r="E42" s="106">
        <f t="shared" si="11"/>
        <v>0</v>
      </c>
      <c r="F42" s="106">
        <f t="shared" si="11"/>
        <v>0</v>
      </c>
      <c r="G42" s="106">
        <f t="shared" si="11"/>
        <v>0</v>
      </c>
      <c r="H42" s="106">
        <f t="shared" si="11"/>
        <v>0</v>
      </c>
      <c r="I42" s="106">
        <f t="shared" si="11"/>
        <v>0</v>
      </c>
      <c r="J42" s="106">
        <f t="shared" si="11"/>
        <v>0</v>
      </c>
      <c r="K42" s="106">
        <f t="shared" si="11"/>
        <v>43.007</v>
      </c>
      <c r="L42" s="106">
        <f t="shared" si="11"/>
        <v>0</v>
      </c>
      <c r="M42" s="106">
        <f t="shared" si="11"/>
        <v>0</v>
      </c>
      <c r="N42" s="106">
        <f t="shared" si="11"/>
        <v>0</v>
      </c>
      <c r="O42" s="106">
        <f t="shared" si="11"/>
        <v>0.852</v>
      </c>
      <c r="P42" s="106">
        <f t="shared" si="11"/>
        <v>0</v>
      </c>
      <c r="Q42" s="106">
        <f t="shared" si="11"/>
        <v>0</v>
      </c>
      <c r="R42" s="106">
        <f t="shared" si="11"/>
        <v>0</v>
      </c>
      <c r="S42" s="106">
        <f t="shared" si="11"/>
        <v>0</v>
      </c>
      <c r="T42" s="106">
        <f>SUM(T43:T45)</f>
        <v>77.557</v>
      </c>
      <c r="U42" s="106">
        <f>SUM(U43:U45)</f>
        <v>0</v>
      </c>
      <c r="V42" s="106">
        <f aca="true" t="shared" si="12" ref="V42:AA42">SUM(V43:V45)</f>
        <v>0</v>
      </c>
      <c r="W42" s="106">
        <f t="shared" si="12"/>
        <v>0</v>
      </c>
      <c r="X42" s="106">
        <f t="shared" si="12"/>
        <v>0</v>
      </c>
      <c r="Y42" s="106">
        <f t="shared" si="12"/>
        <v>0</v>
      </c>
      <c r="Z42" s="106">
        <f>SUM(Z43:Z45)</f>
        <v>0</v>
      </c>
      <c r="AA42" s="106">
        <f t="shared" si="12"/>
        <v>121.416</v>
      </c>
      <c r="AB42" s="104">
        <f t="shared" si="4"/>
        <v>-185.697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">
      <c r="B43" s="107" t="s">
        <v>20</v>
      </c>
      <c r="C43" s="108">
        <v>283.682</v>
      </c>
      <c r="D43" s="81"/>
      <c r="E43" s="81"/>
      <c r="F43" s="81"/>
      <c r="G43" s="81"/>
      <c r="H43" s="81"/>
      <c r="I43" s="81"/>
      <c r="J43" s="86"/>
      <c r="K43" s="81">
        <v>39.282</v>
      </c>
      <c r="L43" s="81"/>
      <c r="M43" s="81"/>
      <c r="N43" s="81"/>
      <c r="O43" s="81"/>
      <c r="P43" s="110"/>
      <c r="Q43" s="81"/>
      <c r="R43" s="110"/>
      <c r="S43" s="81"/>
      <c r="T43" s="81">
        <v>77.2</v>
      </c>
      <c r="U43" s="81"/>
      <c r="V43" s="86"/>
      <c r="W43" s="86"/>
      <c r="X43" s="81"/>
      <c r="Y43" s="81"/>
      <c r="Z43" s="81"/>
      <c r="AA43" s="81">
        <f>SUM(D43:Z43)</f>
        <v>116.482</v>
      </c>
      <c r="AB43" s="104">
        <f t="shared" si="4"/>
        <v>-167.20000000000002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">
      <c r="B44" s="107" t="s">
        <v>22</v>
      </c>
      <c r="C44" s="108">
        <v>13.644</v>
      </c>
      <c r="D44" s="81"/>
      <c r="E44" s="81"/>
      <c r="F44" s="81"/>
      <c r="G44" s="81"/>
      <c r="H44" s="81"/>
      <c r="I44" s="81"/>
      <c r="J44" s="86"/>
      <c r="K44" s="81"/>
      <c r="L44" s="81"/>
      <c r="M44" s="81"/>
      <c r="N44" s="81"/>
      <c r="O44" s="81">
        <v>0.852</v>
      </c>
      <c r="P44" s="81"/>
      <c r="Q44" s="81"/>
      <c r="R44" s="81"/>
      <c r="S44" s="81"/>
      <c r="T44" s="81"/>
      <c r="U44" s="81"/>
      <c r="V44" s="86"/>
      <c r="W44" s="86"/>
      <c r="X44" s="81"/>
      <c r="Y44" s="81"/>
      <c r="Z44" s="81"/>
      <c r="AA44" s="81">
        <f>SUM(D44:Z44)</f>
        <v>0.852</v>
      </c>
      <c r="AB44" s="104">
        <f t="shared" si="4"/>
        <v>-12.792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">
      <c r="B45" s="107" t="s">
        <v>24</v>
      </c>
      <c r="C45" s="108">
        <v>9.787</v>
      </c>
      <c r="D45" s="81"/>
      <c r="E45" s="81"/>
      <c r="F45" s="81"/>
      <c r="G45" s="81"/>
      <c r="H45" s="81"/>
      <c r="I45" s="81"/>
      <c r="J45" s="81"/>
      <c r="K45" s="81">
        <v>3.725</v>
      </c>
      <c r="L45" s="81"/>
      <c r="M45" s="81"/>
      <c r="N45" s="81"/>
      <c r="O45" s="81"/>
      <c r="P45" s="81"/>
      <c r="Q45" s="81"/>
      <c r="R45" s="81"/>
      <c r="S45" s="81"/>
      <c r="T45" s="81">
        <v>0.357</v>
      </c>
      <c r="U45" s="81"/>
      <c r="V45" s="81"/>
      <c r="W45" s="81"/>
      <c r="X45" s="81"/>
      <c r="Y45" s="81"/>
      <c r="Z45" s="81"/>
      <c r="AA45" s="81">
        <f>SUM(D45:Z45)</f>
        <v>4.082</v>
      </c>
      <c r="AB45" s="104">
        <f t="shared" si="4"/>
        <v>-5.705000000000001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">
      <c r="B46" s="105" t="s">
        <v>44</v>
      </c>
      <c r="C46" s="106">
        <f aca="true" t="shared" si="13" ref="C46:Y46">SUM(C47:C49)</f>
        <v>321.77299999999997</v>
      </c>
      <c r="D46" s="106">
        <f t="shared" si="13"/>
        <v>0</v>
      </c>
      <c r="E46" s="106">
        <f t="shared" si="13"/>
        <v>0</v>
      </c>
      <c r="F46" s="106">
        <f t="shared" si="13"/>
        <v>0</v>
      </c>
      <c r="G46" s="106">
        <f t="shared" si="13"/>
        <v>0</v>
      </c>
      <c r="H46" s="106">
        <f t="shared" si="13"/>
        <v>0</v>
      </c>
      <c r="I46" s="106">
        <f t="shared" si="13"/>
        <v>41.822</v>
      </c>
      <c r="J46" s="106">
        <f t="shared" si="13"/>
        <v>0</v>
      </c>
      <c r="K46" s="106">
        <f t="shared" si="13"/>
        <v>0</v>
      </c>
      <c r="L46" s="106">
        <f t="shared" si="13"/>
        <v>0</v>
      </c>
      <c r="M46" s="106">
        <f t="shared" si="13"/>
        <v>0</v>
      </c>
      <c r="N46" s="106">
        <f t="shared" si="13"/>
        <v>0</v>
      </c>
      <c r="O46" s="106">
        <f t="shared" si="13"/>
        <v>0</v>
      </c>
      <c r="P46" s="106">
        <f t="shared" si="13"/>
        <v>0</v>
      </c>
      <c r="Q46" s="106">
        <f t="shared" si="13"/>
        <v>0</v>
      </c>
      <c r="R46" s="106">
        <f t="shared" si="13"/>
        <v>36.722</v>
      </c>
      <c r="S46" s="106">
        <f t="shared" si="13"/>
        <v>0</v>
      </c>
      <c r="T46" s="106">
        <f>SUM(T47:T49)</f>
        <v>0</v>
      </c>
      <c r="U46" s="106">
        <f t="shared" si="13"/>
        <v>0</v>
      </c>
      <c r="V46" s="106">
        <f t="shared" si="13"/>
        <v>0</v>
      </c>
      <c r="W46" s="106">
        <f t="shared" si="13"/>
        <v>0</v>
      </c>
      <c r="X46" s="106">
        <f t="shared" si="13"/>
        <v>0</v>
      </c>
      <c r="Y46" s="106">
        <f t="shared" si="13"/>
        <v>0</v>
      </c>
      <c r="Z46" s="106">
        <f>SUM(Z47:Z49)</f>
        <v>0</v>
      </c>
      <c r="AA46" s="106">
        <f>SUM(D46:Y46)</f>
        <v>78.54400000000001</v>
      </c>
      <c r="AB46" s="104">
        <f t="shared" si="4"/>
        <v>-243.22899999999996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">
      <c r="B47" s="107" t="s">
        <v>20</v>
      </c>
      <c r="C47" s="108">
        <v>312.419</v>
      </c>
      <c r="D47" s="81"/>
      <c r="E47" s="81"/>
      <c r="F47" s="81"/>
      <c r="G47" s="81"/>
      <c r="H47" s="81"/>
      <c r="I47" s="81">
        <v>41.822</v>
      </c>
      <c r="J47" s="86"/>
      <c r="K47" s="81"/>
      <c r="L47" s="81"/>
      <c r="M47" s="81"/>
      <c r="N47" s="81"/>
      <c r="O47" s="81"/>
      <c r="P47" s="81"/>
      <c r="Q47" s="81"/>
      <c r="R47" s="81">
        <v>36.722</v>
      </c>
      <c r="S47" s="81"/>
      <c r="T47" s="81"/>
      <c r="U47" s="81"/>
      <c r="V47" s="86"/>
      <c r="W47" s="86"/>
      <c r="X47" s="86"/>
      <c r="Y47" s="86"/>
      <c r="Z47" s="86"/>
      <c r="AA47" s="81">
        <f>SUM(D47:Z47)</f>
        <v>78.54400000000001</v>
      </c>
      <c r="AB47" s="104">
        <f t="shared" si="4"/>
        <v>-233.87499999999997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">
      <c r="B48" s="107" t="s">
        <v>22</v>
      </c>
      <c r="C48" s="108">
        <v>4.001</v>
      </c>
      <c r="D48" s="81"/>
      <c r="E48" s="81"/>
      <c r="F48" s="81"/>
      <c r="G48" s="81"/>
      <c r="H48" s="81"/>
      <c r="I48" s="81"/>
      <c r="J48" s="86"/>
      <c r="K48" s="81"/>
      <c r="L48" s="81"/>
      <c r="M48" s="81"/>
      <c r="N48" s="81"/>
      <c r="O48" s="81"/>
      <c r="P48" s="110"/>
      <c r="Q48" s="81"/>
      <c r="R48" s="110"/>
      <c r="S48" s="81"/>
      <c r="T48" s="81"/>
      <c r="U48" s="81"/>
      <c r="V48" s="86"/>
      <c r="W48" s="81"/>
      <c r="X48" s="86"/>
      <c r="Y48" s="86"/>
      <c r="Z48" s="86"/>
      <c r="AA48" s="81">
        <f>SUM(D48:Z48)</f>
        <v>0</v>
      </c>
      <c r="AB48" s="104">
        <f t="shared" si="4"/>
        <v>-4.001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2:40" s="66" customFormat="1" ht="15">
      <c r="B49" s="107" t="s">
        <v>24</v>
      </c>
      <c r="C49" s="108">
        <v>5.353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>
        <f>SUM(D49:Z49)</f>
        <v>0</v>
      </c>
      <c r="AB49" s="104">
        <f t="shared" si="4"/>
        <v>-5.353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1:40" s="66" customFormat="1" ht="15">
      <c r="A50" s="66">
        <v>90501</v>
      </c>
      <c r="B50" s="105" t="s">
        <v>45</v>
      </c>
      <c r="C50" s="106">
        <f>C51+C52</f>
        <v>93.501</v>
      </c>
      <c r="D50" s="106">
        <f aca="true" t="shared" si="14" ref="D50:Y50">D51+D52</f>
        <v>0</v>
      </c>
      <c r="E50" s="106">
        <f t="shared" si="14"/>
        <v>3.106</v>
      </c>
      <c r="F50" s="106">
        <f t="shared" si="14"/>
        <v>0</v>
      </c>
      <c r="G50" s="106">
        <f t="shared" si="14"/>
        <v>0</v>
      </c>
      <c r="H50" s="106">
        <f t="shared" si="14"/>
        <v>0</v>
      </c>
      <c r="I50" s="106">
        <f t="shared" si="14"/>
        <v>0</v>
      </c>
      <c r="J50" s="106">
        <f t="shared" si="14"/>
        <v>0</v>
      </c>
      <c r="K50" s="106">
        <f t="shared" si="14"/>
        <v>0</v>
      </c>
      <c r="L50" s="106">
        <f t="shared" si="14"/>
        <v>1.4</v>
      </c>
      <c r="M50" s="106">
        <f t="shared" si="14"/>
        <v>0</v>
      </c>
      <c r="N50" s="106">
        <f t="shared" si="14"/>
        <v>0</v>
      </c>
      <c r="O50" s="106">
        <f t="shared" si="14"/>
        <v>0</v>
      </c>
      <c r="P50" s="106">
        <f t="shared" si="14"/>
        <v>0</v>
      </c>
      <c r="Q50" s="106">
        <f t="shared" si="14"/>
        <v>0</v>
      </c>
      <c r="R50" s="106">
        <f t="shared" si="14"/>
        <v>0</v>
      </c>
      <c r="S50" s="106">
        <f t="shared" si="14"/>
        <v>0</v>
      </c>
      <c r="T50" s="106">
        <f>T51+T52</f>
        <v>0</v>
      </c>
      <c r="U50" s="106">
        <f>U51+U52</f>
        <v>4.042</v>
      </c>
      <c r="V50" s="106">
        <f t="shared" si="14"/>
        <v>0</v>
      </c>
      <c r="W50" s="106">
        <f t="shared" si="14"/>
        <v>0</v>
      </c>
      <c r="X50" s="106">
        <f t="shared" si="14"/>
        <v>0</v>
      </c>
      <c r="Y50" s="106">
        <f t="shared" si="14"/>
        <v>0</v>
      </c>
      <c r="Z50" s="106">
        <f>Z51+Z52</f>
        <v>0</v>
      </c>
      <c r="AA50" s="106">
        <f>SUM(D50:Y50)</f>
        <v>8.548</v>
      </c>
      <c r="AB50" s="104">
        <f t="shared" si="4"/>
        <v>-84.953</v>
      </c>
      <c r="AD50" s="72"/>
      <c r="AE50" s="111"/>
      <c r="AF50" s="67"/>
      <c r="AG50" s="68"/>
      <c r="AH50" s="68"/>
      <c r="AI50" s="68"/>
      <c r="AJ50" s="68"/>
      <c r="AK50" s="68"/>
      <c r="AL50" s="68"/>
      <c r="AM50" s="68"/>
      <c r="AN50" s="68"/>
    </row>
    <row r="51" spans="2:40" s="115" customFormat="1" ht="15">
      <c r="B51" s="107" t="s">
        <v>20</v>
      </c>
      <c r="C51" s="113">
        <v>56.917</v>
      </c>
      <c r="D51" s="86"/>
      <c r="E51" s="86"/>
      <c r="F51" s="86"/>
      <c r="G51" s="86"/>
      <c r="H51" s="86"/>
      <c r="I51" s="86"/>
      <c r="J51" s="86"/>
      <c r="K51" s="86"/>
      <c r="L51" s="86">
        <v>1.4</v>
      </c>
      <c r="M51" s="86"/>
      <c r="N51" s="86"/>
      <c r="O51" s="86"/>
      <c r="P51" s="86"/>
      <c r="Q51" s="86"/>
      <c r="R51" s="86"/>
      <c r="S51" s="86"/>
      <c r="T51" s="86"/>
      <c r="U51" s="86">
        <v>4.042</v>
      </c>
      <c r="V51" s="86"/>
      <c r="W51" s="86"/>
      <c r="X51" s="86"/>
      <c r="Y51" s="86"/>
      <c r="Z51" s="86"/>
      <c r="AA51" s="81">
        <f>SUM(D51:Z51)</f>
        <v>5.442</v>
      </c>
      <c r="AB51" s="104">
        <f t="shared" si="4"/>
        <v>-51.475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2:40" s="115" customFormat="1" ht="15">
      <c r="B52" s="107" t="s">
        <v>35</v>
      </c>
      <c r="C52" s="113">
        <v>36.584</v>
      </c>
      <c r="D52" s="86"/>
      <c r="E52" s="86">
        <v>3.106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1">
        <f>SUM(D52:Z52)</f>
        <v>3.106</v>
      </c>
      <c r="AB52" s="104">
        <f t="shared" si="4"/>
        <v>-33.478</v>
      </c>
      <c r="AD52" s="96"/>
      <c r="AE52" s="95"/>
      <c r="AF52" s="116"/>
      <c r="AG52" s="117"/>
      <c r="AH52" s="117"/>
      <c r="AI52" s="117"/>
      <c r="AJ52" s="117"/>
      <c r="AK52" s="117"/>
      <c r="AL52" s="117"/>
      <c r="AM52" s="117"/>
      <c r="AN52" s="117"/>
    </row>
    <row r="53" spans="1:40" s="66" customFormat="1" ht="15">
      <c r="A53" s="66">
        <v>110000</v>
      </c>
      <c r="B53" s="105" t="s">
        <v>46</v>
      </c>
      <c r="C53" s="106">
        <f aca="true" t="shared" si="15" ref="C53:AA53">SUM(C54:C57)</f>
        <v>931.145</v>
      </c>
      <c r="D53" s="106">
        <f t="shared" si="15"/>
        <v>0</v>
      </c>
      <c r="E53" s="106">
        <f t="shared" si="15"/>
        <v>0</v>
      </c>
      <c r="F53" s="106">
        <f t="shared" si="15"/>
        <v>24.85</v>
      </c>
      <c r="G53" s="106">
        <f t="shared" si="15"/>
        <v>2.39</v>
      </c>
      <c r="H53" s="106">
        <f t="shared" si="15"/>
        <v>10.66</v>
      </c>
      <c r="I53" s="106">
        <f t="shared" si="15"/>
        <v>0</v>
      </c>
      <c r="J53" s="106">
        <f t="shared" si="15"/>
        <v>38.403999999999996</v>
      </c>
      <c r="K53" s="106">
        <f t="shared" si="15"/>
        <v>121.606</v>
      </c>
      <c r="L53" s="106">
        <f t="shared" si="15"/>
        <v>0</v>
      </c>
      <c r="M53" s="106">
        <f t="shared" si="15"/>
        <v>0.32499999999999996</v>
      </c>
      <c r="N53" s="106">
        <f t="shared" si="15"/>
        <v>0</v>
      </c>
      <c r="O53" s="106">
        <f t="shared" si="15"/>
        <v>93.5</v>
      </c>
      <c r="P53" s="106">
        <f t="shared" si="15"/>
        <v>0</v>
      </c>
      <c r="Q53" s="106">
        <f t="shared" si="15"/>
        <v>0</v>
      </c>
      <c r="R53" s="106">
        <f t="shared" si="15"/>
        <v>0.42</v>
      </c>
      <c r="S53" s="106">
        <f t="shared" si="15"/>
        <v>0</v>
      </c>
      <c r="T53" s="106">
        <f>SUM(T54:T57)</f>
        <v>267.664</v>
      </c>
      <c r="U53" s="106">
        <f t="shared" si="15"/>
        <v>6.433</v>
      </c>
      <c r="V53" s="106">
        <f t="shared" si="15"/>
        <v>0</v>
      </c>
      <c r="W53" s="106">
        <f t="shared" si="15"/>
        <v>0</v>
      </c>
      <c r="X53" s="106">
        <f t="shared" si="15"/>
        <v>0</v>
      </c>
      <c r="Y53" s="106">
        <f t="shared" si="15"/>
        <v>0</v>
      </c>
      <c r="Z53" s="106">
        <f>SUM(Z54:Z57)</f>
        <v>0</v>
      </c>
      <c r="AA53" s="106">
        <f t="shared" si="15"/>
        <v>566.252</v>
      </c>
      <c r="AB53" s="104">
        <f t="shared" si="4"/>
        <v>-364.89300000000003</v>
      </c>
      <c r="AC53" s="69"/>
      <c r="AD53" s="67"/>
      <c r="AE53" s="67"/>
      <c r="AF53" s="67"/>
      <c r="AG53" s="68"/>
      <c r="AH53" s="68"/>
      <c r="AI53" s="68"/>
      <c r="AJ53" s="68"/>
      <c r="AK53" s="68"/>
      <c r="AL53" s="68"/>
      <c r="AM53" s="68"/>
      <c r="AN53" s="68"/>
    </row>
    <row r="54" spans="2:28" ht="15">
      <c r="B54" s="107" t="s">
        <v>20</v>
      </c>
      <c r="C54" s="108">
        <f>652.45-6</f>
        <v>646.45</v>
      </c>
      <c r="D54" s="81"/>
      <c r="E54" s="81"/>
      <c r="F54" s="81"/>
      <c r="G54" s="81"/>
      <c r="H54" s="81"/>
      <c r="I54" s="81"/>
      <c r="J54" s="86">
        <v>32.815</v>
      </c>
      <c r="K54" s="81">
        <v>121.366</v>
      </c>
      <c r="L54" s="81"/>
      <c r="M54" s="81"/>
      <c r="N54" s="81"/>
      <c r="O54" s="81"/>
      <c r="P54" s="110"/>
      <c r="Q54" s="81"/>
      <c r="R54" s="110"/>
      <c r="S54" s="81"/>
      <c r="T54" s="81">
        <v>261.984</v>
      </c>
      <c r="U54" s="81"/>
      <c r="V54" s="86"/>
      <c r="W54" s="86"/>
      <c r="X54" s="86"/>
      <c r="Y54" s="81"/>
      <c r="Z54" s="81"/>
      <c r="AA54" s="81">
        <f>SUM(D54:Z54)</f>
        <v>416.16499999999996</v>
      </c>
      <c r="AB54" s="104">
        <f t="shared" si="4"/>
        <v>-230.28500000000008</v>
      </c>
    </row>
    <row r="55" spans="2:28" ht="15">
      <c r="B55" s="107" t="s">
        <v>22</v>
      </c>
      <c r="C55" s="108">
        <f>71.152-20-5.2</f>
        <v>45.952</v>
      </c>
      <c r="D55" s="81"/>
      <c r="E55" s="81"/>
      <c r="F55" s="81"/>
      <c r="G55" s="81"/>
      <c r="H55" s="81"/>
      <c r="I55" s="81"/>
      <c r="J55" s="86"/>
      <c r="K55" s="81"/>
      <c r="L55" s="81"/>
      <c r="M55" s="81">
        <v>0.119</v>
      </c>
      <c r="N55" s="81"/>
      <c r="O55" s="81"/>
      <c r="P55" s="110"/>
      <c r="Q55" s="81"/>
      <c r="R55" s="110"/>
      <c r="S55" s="81"/>
      <c r="T55" s="81">
        <v>2.838</v>
      </c>
      <c r="U55" s="81"/>
      <c r="V55" s="86"/>
      <c r="W55" s="86"/>
      <c r="X55" s="86"/>
      <c r="Y55" s="81"/>
      <c r="Z55" s="81"/>
      <c r="AA55" s="81">
        <f>SUM(D55:Z55)</f>
        <v>2.957</v>
      </c>
      <c r="AB55" s="104">
        <f t="shared" si="4"/>
        <v>-42.995</v>
      </c>
    </row>
    <row r="56" spans="2:28" ht="15">
      <c r="B56" s="107" t="s">
        <v>47</v>
      </c>
      <c r="C56" s="108">
        <v>5.28</v>
      </c>
      <c r="D56" s="81"/>
      <c r="E56" s="81"/>
      <c r="F56" s="81"/>
      <c r="G56" s="81"/>
      <c r="H56" s="81"/>
      <c r="I56" s="81"/>
      <c r="J56" s="86"/>
      <c r="K56" s="81"/>
      <c r="L56" s="81"/>
      <c r="M56" s="81"/>
      <c r="N56" s="81"/>
      <c r="O56" s="81"/>
      <c r="P56" s="110"/>
      <c r="Q56" s="81"/>
      <c r="R56" s="110"/>
      <c r="S56" s="81"/>
      <c r="T56" s="81"/>
      <c r="U56" s="81"/>
      <c r="V56" s="86"/>
      <c r="W56" s="86"/>
      <c r="X56" s="86"/>
      <c r="Y56" s="81"/>
      <c r="Z56" s="81"/>
      <c r="AA56" s="81">
        <f>SUM(D56:Z56)</f>
        <v>0</v>
      </c>
      <c r="AB56" s="104">
        <f t="shared" si="4"/>
        <v>-5.28</v>
      </c>
    </row>
    <row r="57" spans="2:29" ht="15">
      <c r="B57" s="107" t="s">
        <v>24</v>
      </c>
      <c r="C57" s="108">
        <f>220.783+20-7.32</f>
        <v>233.463</v>
      </c>
      <c r="D57" s="81"/>
      <c r="E57" s="81"/>
      <c r="F57" s="81">
        <v>24.85</v>
      </c>
      <c r="G57" s="81">
        <v>2.39</v>
      </c>
      <c r="H57" s="81">
        <v>10.66</v>
      </c>
      <c r="I57" s="81"/>
      <c r="J57" s="81">
        <v>5.589</v>
      </c>
      <c r="K57" s="81">
        <v>0.24</v>
      </c>
      <c r="L57" s="81"/>
      <c r="M57" s="81">
        <v>0.206</v>
      </c>
      <c r="N57" s="81"/>
      <c r="O57" s="81">
        <v>93.5</v>
      </c>
      <c r="P57" s="81"/>
      <c r="Q57" s="81"/>
      <c r="R57" s="81">
        <v>0.42</v>
      </c>
      <c r="S57" s="81"/>
      <c r="T57" s="81">
        <v>2.842</v>
      </c>
      <c r="U57" s="81">
        <v>6.433</v>
      </c>
      <c r="V57" s="81"/>
      <c r="W57" s="81"/>
      <c r="X57" s="81"/>
      <c r="Y57" s="81"/>
      <c r="Z57" s="81"/>
      <c r="AA57" s="81">
        <f>SUM(D57:Z57)</f>
        <v>147.13</v>
      </c>
      <c r="AB57" s="104">
        <f t="shared" si="4"/>
        <v>-86.333</v>
      </c>
      <c r="AC57" s="66"/>
    </row>
    <row r="58" spans="1:40" s="66" customFormat="1" ht="15">
      <c r="A58" s="66">
        <v>130000</v>
      </c>
      <c r="B58" s="105" t="s">
        <v>48</v>
      </c>
      <c r="C58" s="106">
        <f>SUM(C59:C63)</f>
        <v>929.3205099999999</v>
      </c>
      <c r="D58" s="106">
        <f aca="true" t="shared" si="16" ref="D58:AA58">SUM(D59:D63)</f>
        <v>0</v>
      </c>
      <c r="E58" s="106">
        <f t="shared" si="16"/>
        <v>0</v>
      </c>
      <c r="F58" s="106">
        <f t="shared" si="16"/>
        <v>2</v>
      </c>
      <c r="G58" s="106">
        <f t="shared" si="16"/>
        <v>119.476</v>
      </c>
      <c r="H58" s="106">
        <f t="shared" si="16"/>
        <v>0</v>
      </c>
      <c r="I58" s="106">
        <f t="shared" si="16"/>
        <v>0</v>
      </c>
      <c r="J58" s="106">
        <f t="shared" si="16"/>
        <v>0</v>
      </c>
      <c r="K58" s="106">
        <f t="shared" si="16"/>
        <v>0</v>
      </c>
      <c r="L58" s="106">
        <f t="shared" si="16"/>
        <v>0</v>
      </c>
      <c r="M58" s="106">
        <f t="shared" si="16"/>
        <v>0</v>
      </c>
      <c r="N58" s="106">
        <f t="shared" si="16"/>
        <v>0</v>
      </c>
      <c r="O58" s="106">
        <f t="shared" si="16"/>
        <v>0</v>
      </c>
      <c r="P58" s="106">
        <f t="shared" si="16"/>
        <v>0</v>
      </c>
      <c r="Q58" s="106">
        <f t="shared" si="16"/>
        <v>0</v>
      </c>
      <c r="R58" s="106">
        <f t="shared" si="16"/>
        <v>19.578</v>
      </c>
      <c r="S58" s="106">
        <f t="shared" si="16"/>
        <v>0</v>
      </c>
      <c r="T58" s="106">
        <f>SUM(T59:T63)</f>
        <v>14.713</v>
      </c>
      <c r="U58" s="106">
        <f>SUM(U59:U63)</f>
        <v>361.346</v>
      </c>
      <c r="V58" s="106">
        <f t="shared" si="16"/>
        <v>0</v>
      </c>
      <c r="W58" s="106">
        <f t="shared" si="16"/>
        <v>0</v>
      </c>
      <c r="X58" s="106">
        <f t="shared" si="16"/>
        <v>0</v>
      </c>
      <c r="Y58" s="106">
        <f t="shared" si="16"/>
        <v>0</v>
      </c>
      <c r="Z58" s="106">
        <f>SUM(Z59:Z63)</f>
        <v>0</v>
      </c>
      <c r="AA58" s="106">
        <f t="shared" si="16"/>
        <v>517.1129999999999</v>
      </c>
      <c r="AB58" s="104">
        <f t="shared" si="4"/>
        <v>-412.20750999999996</v>
      </c>
      <c r="AC58" s="69"/>
      <c r="AD58" s="67"/>
      <c r="AE58" s="67"/>
      <c r="AF58" s="67"/>
      <c r="AG58" s="68"/>
      <c r="AH58" s="68"/>
      <c r="AI58" s="68"/>
      <c r="AJ58" s="68"/>
      <c r="AK58" s="68"/>
      <c r="AL58" s="68"/>
      <c r="AM58" s="68"/>
      <c r="AN58" s="68"/>
    </row>
    <row r="59" spans="2:28" ht="15">
      <c r="B59" s="107" t="s">
        <v>20</v>
      </c>
      <c r="C59" s="108">
        <v>598.098</v>
      </c>
      <c r="D59" s="81"/>
      <c r="E59" s="81"/>
      <c r="F59" s="81"/>
      <c r="G59" s="81">
        <v>76.27</v>
      </c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>
        <v>300.955</v>
      </c>
      <c r="V59" s="86"/>
      <c r="W59" s="86"/>
      <c r="X59" s="81"/>
      <c r="Y59" s="81"/>
      <c r="Z59" s="81"/>
      <c r="AA59" s="81">
        <f>SUM(D59:Z59)</f>
        <v>377.22499999999997</v>
      </c>
      <c r="AB59" s="104">
        <f t="shared" si="4"/>
        <v>-220.873</v>
      </c>
    </row>
    <row r="60" spans="2:28" ht="15">
      <c r="B60" s="107" t="s">
        <v>29</v>
      </c>
      <c r="C60" s="108">
        <v>0.00051</v>
      </c>
      <c r="D60" s="81"/>
      <c r="E60" s="81"/>
      <c r="F60" s="81"/>
      <c r="G60" s="81"/>
      <c r="H60" s="81"/>
      <c r="I60" s="81"/>
      <c r="J60" s="110"/>
      <c r="K60" s="81"/>
      <c r="L60" s="81"/>
      <c r="M60" s="81"/>
      <c r="N60" s="81"/>
      <c r="O60" s="81"/>
      <c r="P60" s="110"/>
      <c r="Q60" s="81"/>
      <c r="R60" s="110"/>
      <c r="S60" s="81"/>
      <c r="T60" s="81"/>
      <c r="U60" s="81"/>
      <c r="V60" s="86"/>
      <c r="W60" s="86"/>
      <c r="X60" s="81"/>
      <c r="Y60" s="81"/>
      <c r="Z60" s="81"/>
      <c r="AA60" s="81">
        <f>SUM(D60:Z60)</f>
        <v>0</v>
      </c>
      <c r="AB60" s="104">
        <f t="shared" si="4"/>
        <v>-0.00051</v>
      </c>
    </row>
    <row r="61" spans="2:28" ht="15">
      <c r="B61" s="107" t="s">
        <v>22</v>
      </c>
      <c r="C61" s="108">
        <v>51.226</v>
      </c>
      <c r="D61" s="81"/>
      <c r="E61" s="81"/>
      <c r="F61" s="81"/>
      <c r="G61" s="81">
        <v>0.18</v>
      </c>
      <c r="H61" s="81"/>
      <c r="I61" s="81"/>
      <c r="J61" s="86"/>
      <c r="K61" s="81"/>
      <c r="L61" s="81"/>
      <c r="M61" s="81"/>
      <c r="N61" s="81"/>
      <c r="O61" s="81"/>
      <c r="P61" s="110"/>
      <c r="Q61" s="81"/>
      <c r="R61" s="81">
        <v>4.316</v>
      </c>
      <c r="S61" s="81"/>
      <c r="T61" s="81"/>
      <c r="U61" s="81">
        <v>13.552</v>
      </c>
      <c r="V61" s="86"/>
      <c r="W61" s="86"/>
      <c r="X61" s="81"/>
      <c r="Y61" s="81"/>
      <c r="Z61" s="81"/>
      <c r="AA61" s="81">
        <f>SUM(D61:Z61)</f>
        <v>18.048</v>
      </c>
      <c r="AB61" s="104">
        <f t="shared" si="4"/>
        <v>-33.178</v>
      </c>
    </row>
    <row r="62" spans="2:28" ht="15">
      <c r="B62" s="107" t="s">
        <v>35</v>
      </c>
      <c r="C62" s="108">
        <v>94.454</v>
      </c>
      <c r="D62" s="81"/>
      <c r="E62" s="81"/>
      <c r="F62" s="81">
        <v>2</v>
      </c>
      <c r="G62" s="81">
        <v>25.525</v>
      </c>
      <c r="H62" s="81"/>
      <c r="I62" s="81"/>
      <c r="J62" s="86"/>
      <c r="K62" s="81"/>
      <c r="L62" s="81"/>
      <c r="M62" s="81"/>
      <c r="N62" s="81"/>
      <c r="O62" s="81"/>
      <c r="P62" s="81"/>
      <c r="Q62" s="81"/>
      <c r="R62" s="81"/>
      <c r="S62" s="81"/>
      <c r="T62" s="81">
        <v>14.713</v>
      </c>
      <c r="U62" s="81">
        <v>1.8</v>
      </c>
      <c r="V62" s="86"/>
      <c r="W62" s="81"/>
      <c r="X62" s="86"/>
      <c r="Y62" s="86"/>
      <c r="Z62" s="86"/>
      <c r="AA62" s="81">
        <f>SUM(D62:Z62)</f>
        <v>44.038</v>
      </c>
      <c r="AB62" s="104">
        <f t="shared" si="4"/>
        <v>-50.416</v>
      </c>
    </row>
    <row r="63" spans="2:28" ht="15">
      <c r="B63" s="107" t="s">
        <v>24</v>
      </c>
      <c r="C63" s="108">
        <f>163.542+22</f>
        <v>185.542</v>
      </c>
      <c r="D63" s="81"/>
      <c r="E63" s="81"/>
      <c r="F63" s="81"/>
      <c r="G63" s="81">
        <v>17.501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>
        <v>15.262</v>
      </c>
      <c r="S63" s="81"/>
      <c r="T63" s="81"/>
      <c r="U63" s="81">
        <v>45.039</v>
      </c>
      <c r="V63" s="81"/>
      <c r="W63" s="81"/>
      <c r="X63" s="81"/>
      <c r="Y63" s="81"/>
      <c r="Z63" s="81"/>
      <c r="AA63" s="81">
        <f>SUM(D63:Z63)</f>
        <v>77.802</v>
      </c>
      <c r="AB63" s="104">
        <f t="shared" si="4"/>
        <v>-107.74</v>
      </c>
    </row>
    <row r="64" spans="2:28" ht="15">
      <c r="B64" s="105" t="s">
        <v>50</v>
      </c>
      <c r="C64" s="106">
        <f>C65+C66</f>
        <v>2781.345</v>
      </c>
      <c r="D64" s="106">
        <f aca="true" t="shared" si="17" ref="D64:AA64">D65+D66</f>
        <v>0</v>
      </c>
      <c r="E64" s="106">
        <f t="shared" si="17"/>
        <v>0</v>
      </c>
      <c r="F64" s="106">
        <f t="shared" si="17"/>
        <v>122.597</v>
      </c>
      <c r="G64" s="106">
        <f t="shared" si="17"/>
        <v>841.521</v>
      </c>
      <c r="H64" s="106">
        <f t="shared" si="17"/>
        <v>0</v>
      </c>
      <c r="I64" s="106">
        <f t="shared" si="17"/>
        <v>0</v>
      </c>
      <c r="J64" s="106">
        <f t="shared" si="17"/>
        <v>47.574</v>
      </c>
      <c r="K64" s="106">
        <f t="shared" si="17"/>
        <v>0</v>
      </c>
      <c r="L64" s="106">
        <f t="shared" si="17"/>
        <v>17.549</v>
      </c>
      <c r="M64" s="106">
        <f t="shared" si="17"/>
        <v>6.148</v>
      </c>
      <c r="N64" s="106">
        <f t="shared" si="17"/>
        <v>0</v>
      </c>
      <c r="O64" s="106">
        <f t="shared" si="17"/>
        <v>45</v>
      </c>
      <c r="P64" s="106">
        <f t="shared" si="17"/>
        <v>612.362</v>
      </c>
      <c r="Q64" s="106">
        <f t="shared" si="17"/>
        <v>0</v>
      </c>
      <c r="R64" s="106">
        <f t="shared" si="17"/>
        <v>0</v>
      </c>
      <c r="S64" s="106">
        <f t="shared" si="17"/>
        <v>0</v>
      </c>
      <c r="T64" s="106">
        <f>T65+T66</f>
        <v>6.599</v>
      </c>
      <c r="U64" s="106">
        <f t="shared" si="17"/>
        <v>112.216</v>
      </c>
      <c r="V64" s="106">
        <f t="shared" si="17"/>
        <v>0</v>
      </c>
      <c r="W64" s="106">
        <f t="shared" si="17"/>
        <v>0</v>
      </c>
      <c r="X64" s="106">
        <f t="shared" si="17"/>
        <v>0</v>
      </c>
      <c r="Y64" s="106">
        <f t="shared" si="17"/>
        <v>0</v>
      </c>
      <c r="Z64" s="106">
        <f>Z65+Z66</f>
        <v>0</v>
      </c>
      <c r="AA64" s="106">
        <f t="shared" si="17"/>
        <v>1811.5659999999998</v>
      </c>
      <c r="AB64" s="104">
        <f t="shared" si="4"/>
        <v>-969.779</v>
      </c>
    </row>
    <row r="65" spans="2:28" ht="15">
      <c r="B65" s="118" t="s">
        <v>51</v>
      </c>
      <c r="C65" s="113">
        <f>314.266-100-24.802+150</f>
        <v>339.46400000000006</v>
      </c>
      <c r="D65" s="86"/>
      <c r="E65" s="86"/>
      <c r="F65" s="86"/>
      <c r="G65" s="86"/>
      <c r="H65" s="86"/>
      <c r="I65" s="86"/>
      <c r="J65" s="86">
        <v>47.574</v>
      </c>
      <c r="K65" s="86"/>
      <c r="L65" s="86"/>
      <c r="M65" s="86"/>
      <c r="N65" s="86"/>
      <c r="O65" s="86">
        <v>45</v>
      </c>
      <c r="P65" s="86"/>
      <c r="Q65" s="86"/>
      <c r="R65" s="86"/>
      <c r="S65" s="86"/>
      <c r="T65" s="86">
        <v>6.599</v>
      </c>
      <c r="U65" s="86">
        <v>23.868</v>
      </c>
      <c r="V65" s="86"/>
      <c r="W65" s="86"/>
      <c r="X65" s="86"/>
      <c r="Y65" s="86"/>
      <c r="Z65" s="86"/>
      <c r="AA65" s="86">
        <f>SUM(D65:Z65)</f>
        <v>123.041</v>
      </c>
      <c r="AB65" s="104">
        <f t="shared" si="4"/>
        <v>-216.42300000000006</v>
      </c>
    </row>
    <row r="66" spans="2:28" ht="15">
      <c r="B66" s="118" t="s">
        <v>35</v>
      </c>
      <c r="C66" s="113">
        <f>2313.881+278-150</f>
        <v>2441.881</v>
      </c>
      <c r="D66" s="86"/>
      <c r="E66" s="86"/>
      <c r="F66" s="86">
        <v>122.597</v>
      </c>
      <c r="G66" s="86">
        <v>841.521</v>
      </c>
      <c r="H66" s="86"/>
      <c r="I66" s="86"/>
      <c r="J66" s="86"/>
      <c r="K66" s="86"/>
      <c r="L66" s="86">
        <v>17.549</v>
      </c>
      <c r="M66" s="86">
        <v>6.148</v>
      </c>
      <c r="N66" s="86"/>
      <c r="O66" s="86"/>
      <c r="P66" s="86">
        <v>612.362</v>
      </c>
      <c r="Q66" s="86"/>
      <c r="R66" s="86"/>
      <c r="S66" s="86"/>
      <c r="T66" s="86"/>
      <c r="U66" s="86">
        <v>88.348</v>
      </c>
      <c r="V66" s="86"/>
      <c r="W66" s="86"/>
      <c r="X66" s="86"/>
      <c r="Y66" s="86"/>
      <c r="Z66" s="86"/>
      <c r="AA66" s="86">
        <f>SUM(D66:Z66)</f>
        <v>1688.5249999999999</v>
      </c>
      <c r="AB66" s="104">
        <f t="shared" si="4"/>
        <v>-753.356</v>
      </c>
    </row>
    <row r="67" spans="2:28" ht="15">
      <c r="B67" s="105" t="s">
        <v>52</v>
      </c>
      <c r="C67" s="106">
        <f>C68+C69</f>
        <v>31.930999999999997</v>
      </c>
      <c r="D67" s="106">
        <f aca="true" t="shared" si="18" ref="D67:AA67">D68+D69</f>
        <v>0</v>
      </c>
      <c r="E67" s="106">
        <f t="shared" si="18"/>
        <v>0</v>
      </c>
      <c r="F67" s="106">
        <f t="shared" si="18"/>
        <v>0.981</v>
      </c>
      <c r="G67" s="106">
        <f t="shared" si="18"/>
        <v>0</v>
      </c>
      <c r="H67" s="106">
        <f t="shared" si="18"/>
        <v>0</v>
      </c>
      <c r="I67" s="106">
        <f t="shared" si="18"/>
        <v>0</v>
      </c>
      <c r="J67" s="106">
        <f t="shared" si="18"/>
        <v>0</v>
      </c>
      <c r="K67" s="106">
        <f t="shared" si="18"/>
        <v>0</v>
      </c>
      <c r="L67" s="106">
        <f t="shared" si="18"/>
        <v>0</v>
      </c>
      <c r="M67" s="106">
        <f t="shared" si="18"/>
        <v>0</v>
      </c>
      <c r="N67" s="106">
        <f t="shared" si="18"/>
        <v>0</v>
      </c>
      <c r="O67" s="106">
        <f t="shared" si="18"/>
        <v>0</v>
      </c>
      <c r="P67" s="106">
        <f t="shared" si="18"/>
        <v>0</v>
      </c>
      <c r="Q67" s="106">
        <f t="shared" si="18"/>
        <v>0</v>
      </c>
      <c r="R67" s="106">
        <f t="shared" si="18"/>
        <v>0</v>
      </c>
      <c r="S67" s="106">
        <f t="shared" si="18"/>
        <v>0</v>
      </c>
      <c r="T67" s="106">
        <f t="shared" si="18"/>
        <v>0</v>
      </c>
      <c r="U67" s="106">
        <f t="shared" si="18"/>
        <v>0</v>
      </c>
      <c r="V67" s="106">
        <f t="shared" si="18"/>
        <v>0</v>
      </c>
      <c r="W67" s="106">
        <f t="shared" si="18"/>
        <v>0</v>
      </c>
      <c r="X67" s="106">
        <f t="shared" si="18"/>
        <v>0</v>
      </c>
      <c r="Y67" s="106">
        <f t="shared" si="18"/>
        <v>0</v>
      </c>
      <c r="Z67" s="106">
        <f t="shared" si="18"/>
        <v>0</v>
      </c>
      <c r="AA67" s="106">
        <f t="shared" si="18"/>
        <v>0.981</v>
      </c>
      <c r="AB67" s="104">
        <f t="shared" si="4"/>
        <v>-30.949999999999996</v>
      </c>
    </row>
    <row r="68" spans="2:28" ht="15">
      <c r="B68" s="107" t="s">
        <v>22</v>
      </c>
      <c r="C68" s="113">
        <v>15.4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0</v>
      </c>
      <c r="AB68" s="104">
        <f t="shared" si="4"/>
        <v>-15.4</v>
      </c>
    </row>
    <row r="69" spans="2:28" ht="15">
      <c r="B69" s="107" t="s">
        <v>35</v>
      </c>
      <c r="C69" s="113">
        <v>16.531</v>
      </c>
      <c r="D69" s="86"/>
      <c r="E69" s="86"/>
      <c r="F69" s="86">
        <v>0.981</v>
      </c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>
        <f>SUM(D69:Z69)</f>
        <v>0.981</v>
      </c>
      <c r="AB69" s="104">
        <f t="shared" si="4"/>
        <v>-15.549999999999999</v>
      </c>
    </row>
    <row r="70" spans="2:28" ht="45" customHeight="1">
      <c r="B70" s="119" t="s">
        <v>53</v>
      </c>
      <c r="C70" s="106">
        <f>400-200-200</f>
        <v>0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>
        <f>SUM(D70:Z70)</f>
        <v>0</v>
      </c>
      <c r="AB70" s="104">
        <f t="shared" si="4"/>
        <v>0</v>
      </c>
    </row>
    <row r="71" spans="1:29" ht="15">
      <c r="A71" s="66">
        <v>170703</v>
      </c>
      <c r="B71" s="105" t="s">
        <v>54</v>
      </c>
      <c r="C71" s="106">
        <f>C72</f>
        <v>586.414</v>
      </c>
      <c r="D71" s="106">
        <f aca="true" t="shared" si="19" ref="D71:AA71">D72</f>
        <v>0</v>
      </c>
      <c r="E71" s="106">
        <f t="shared" si="19"/>
        <v>0</v>
      </c>
      <c r="F71" s="106">
        <f t="shared" si="19"/>
        <v>0</v>
      </c>
      <c r="G71" s="106">
        <f t="shared" si="19"/>
        <v>0</v>
      </c>
      <c r="H71" s="106">
        <f t="shared" si="19"/>
        <v>198.76</v>
      </c>
      <c r="I71" s="106">
        <f t="shared" si="19"/>
        <v>0</v>
      </c>
      <c r="J71" s="106">
        <f t="shared" si="19"/>
        <v>82.586</v>
      </c>
      <c r="K71" s="106">
        <f t="shared" si="19"/>
        <v>0</v>
      </c>
      <c r="L71" s="106">
        <f t="shared" si="19"/>
        <v>0</v>
      </c>
      <c r="M71" s="106">
        <f t="shared" si="19"/>
        <v>0</v>
      </c>
      <c r="N71" s="106">
        <f t="shared" si="19"/>
        <v>0</v>
      </c>
      <c r="O71" s="106">
        <f t="shared" si="19"/>
        <v>0</v>
      </c>
      <c r="P71" s="106">
        <f t="shared" si="19"/>
        <v>0</v>
      </c>
      <c r="Q71" s="106">
        <f t="shared" si="19"/>
        <v>0</v>
      </c>
      <c r="R71" s="106">
        <f t="shared" si="19"/>
        <v>54.686</v>
      </c>
      <c r="S71" s="106">
        <f t="shared" si="19"/>
        <v>0</v>
      </c>
      <c r="T71" s="106">
        <f t="shared" si="19"/>
        <v>11.179</v>
      </c>
      <c r="U71" s="106">
        <f t="shared" si="19"/>
        <v>168.38</v>
      </c>
      <c r="V71" s="106">
        <f t="shared" si="19"/>
        <v>0</v>
      </c>
      <c r="W71" s="106">
        <f t="shared" si="19"/>
        <v>0</v>
      </c>
      <c r="X71" s="106">
        <f t="shared" si="19"/>
        <v>0</v>
      </c>
      <c r="Y71" s="106">
        <f t="shared" si="19"/>
        <v>0</v>
      </c>
      <c r="Z71" s="106">
        <f t="shared" si="19"/>
        <v>0</v>
      </c>
      <c r="AA71" s="106">
        <f t="shared" si="19"/>
        <v>515.5909999999999</v>
      </c>
      <c r="AB71" s="104">
        <f t="shared" si="4"/>
        <v>-70.82300000000009</v>
      </c>
      <c r="AC71" s="94"/>
    </row>
    <row r="72" spans="2:40" s="94" customFormat="1" ht="15">
      <c r="B72" s="118" t="s">
        <v>51</v>
      </c>
      <c r="C72" s="113">
        <f>482.712+104.802-1.1</f>
        <v>586.414</v>
      </c>
      <c r="D72" s="86"/>
      <c r="E72" s="86"/>
      <c r="F72" s="86"/>
      <c r="G72" s="86"/>
      <c r="H72" s="86">
        <v>198.76</v>
      </c>
      <c r="I72" s="86"/>
      <c r="J72" s="86">
        <v>82.586</v>
      </c>
      <c r="K72" s="86"/>
      <c r="L72" s="86"/>
      <c r="M72" s="86"/>
      <c r="N72" s="86"/>
      <c r="O72" s="86"/>
      <c r="P72" s="86"/>
      <c r="Q72" s="86"/>
      <c r="R72" s="86">
        <v>54.686</v>
      </c>
      <c r="S72" s="86"/>
      <c r="T72" s="86">
        <v>11.179</v>
      </c>
      <c r="U72" s="86">
        <v>168.38</v>
      </c>
      <c r="V72" s="86"/>
      <c r="W72" s="86"/>
      <c r="X72" s="86"/>
      <c r="Y72" s="86"/>
      <c r="Z72" s="86"/>
      <c r="AA72" s="86">
        <f aca="true" t="shared" si="20" ref="AA72:AA81">SUM(D72:Z72)</f>
        <v>515.5909999999999</v>
      </c>
      <c r="AB72" s="104">
        <f t="shared" si="4"/>
        <v>-70.82300000000009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27">
      <c r="B73" s="119" t="s">
        <v>55</v>
      </c>
      <c r="C73" s="106">
        <v>10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20"/>
        <v>0</v>
      </c>
      <c r="AB73" s="104">
        <f t="shared" si="4"/>
        <v>-10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">
      <c r="B74" s="119" t="s">
        <v>56</v>
      </c>
      <c r="C74" s="106">
        <v>259.678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20"/>
        <v>0</v>
      </c>
      <c r="AB74" s="104">
        <f t="shared" si="4"/>
        <v>-259.678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15">
      <c r="B75" s="119" t="s">
        <v>57</v>
      </c>
      <c r="C75" s="106">
        <v>8.1824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20"/>
        <v>0</v>
      </c>
      <c r="AB75" s="104">
        <f t="shared" si="4"/>
        <v>-8.1824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2:40" s="94" customFormat="1" ht="15">
      <c r="B76" s="119" t="s">
        <v>58</v>
      </c>
      <c r="C76" s="106">
        <v>527.155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20"/>
        <v>0</v>
      </c>
      <c r="AB76" s="104">
        <f t="shared" si="4"/>
        <v>-527.155</v>
      </c>
      <c r="AD76" s="96"/>
      <c r="AE76" s="96"/>
      <c r="AF76" s="96"/>
      <c r="AG76" s="97"/>
      <c r="AH76" s="97"/>
      <c r="AI76" s="97"/>
      <c r="AJ76" s="97"/>
      <c r="AK76" s="97"/>
      <c r="AL76" s="97"/>
      <c r="AM76" s="97"/>
      <c r="AN76" s="97"/>
    </row>
    <row r="77" spans="1:40" s="66" customFormat="1" ht="15">
      <c r="A77" s="66">
        <v>250102</v>
      </c>
      <c r="B77" s="105" t="s">
        <v>59</v>
      </c>
      <c r="C77" s="106">
        <v>150.75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20"/>
        <v>0</v>
      </c>
      <c r="AB77" s="104">
        <f t="shared" si="4"/>
        <v>-150.75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55.5">
      <c r="B78" s="105" t="s">
        <v>60</v>
      </c>
      <c r="C78" s="106">
        <v>47.942</v>
      </c>
      <c r="D78" s="106"/>
      <c r="E78" s="106"/>
      <c r="F78" s="106"/>
      <c r="G78" s="106"/>
      <c r="H78" s="106"/>
      <c r="I78" s="106">
        <v>47.942</v>
      </c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20"/>
        <v>47.942</v>
      </c>
      <c r="AB78" s="104">
        <f t="shared" si="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71.25" customHeight="1">
      <c r="B79" s="105" t="s">
        <v>61</v>
      </c>
      <c r="C79" s="106">
        <v>250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20"/>
        <v>0</v>
      </c>
      <c r="AB79" s="104">
        <f t="shared" si="4"/>
        <v>-250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55.5" hidden="1">
      <c r="B80" s="105" t="s">
        <v>62</v>
      </c>
      <c r="C80" s="106">
        <v>0</v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>
        <f t="shared" si="20"/>
        <v>0</v>
      </c>
      <c r="AB80" s="104">
        <f t="shared" si="4"/>
        <v>0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42">
      <c r="B81" s="105" t="s">
        <v>63</v>
      </c>
      <c r="C81" s="106">
        <v>0</v>
      </c>
      <c r="D81" s="106">
        <v>67.28</v>
      </c>
      <c r="E81" s="106">
        <v>124.205</v>
      </c>
      <c r="F81" s="106">
        <v>292.17</v>
      </c>
      <c r="G81" s="106">
        <v>305.993</v>
      </c>
      <c r="H81" s="106">
        <v>890.721</v>
      </c>
      <c r="I81" s="106"/>
      <c r="J81" s="106">
        <v>202.32</v>
      </c>
      <c r="K81" s="106"/>
      <c r="L81" s="106">
        <v>61.626</v>
      </c>
      <c r="M81" s="106">
        <v>80.732</v>
      </c>
      <c r="N81" s="106"/>
      <c r="O81" s="106">
        <v>1155.154</v>
      </c>
      <c r="P81" s="106">
        <v>254.1</v>
      </c>
      <c r="Q81" s="106"/>
      <c r="R81" s="106"/>
      <c r="S81" s="106"/>
      <c r="T81" s="106">
        <v>404.387</v>
      </c>
      <c r="U81" s="106">
        <v>499.863</v>
      </c>
      <c r="V81" s="106"/>
      <c r="W81" s="106"/>
      <c r="X81" s="106"/>
      <c r="Y81" s="106"/>
      <c r="Z81" s="106"/>
      <c r="AA81" s="106">
        <f t="shared" si="20"/>
        <v>4338.551</v>
      </c>
      <c r="AB81" s="104">
        <f t="shared" si="4"/>
        <v>4338.551</v>
      </c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2:40" s="66" customFormat="1" ht="15">
      <c r="B82" s="120" t="s">
        <v>64</v>
      </c>
      <c r="C82" s="121">
        <f>SUM(C83:C89)</f>
        <v>35175.32291</v>
      </c>
      <c r="D82" s="121">
        <f aca="true" t="shared" si="21" ref="D82:AA82">SUM(D83:D89)</f>
        <v>67.47</v>
      </c>
      <c r="E82" s="121">
        <f t="shared" si="21"/>
        <v>203.53000000000003</v>
      </c>
      <c r="F82" s="121">
        <f t="shared" si="21"/>
        <v>538.154</v>
      </c>
      <c r="G82" s="121">
        <f t="shared" si="21"/>
        <v>1468.6239999999998</v>
      </c>
      <c r="H82" s="121">
        <f t="shared" si="21"/>
        <v>1181.7509999999997</v>
      </c>
      <c r="I82" s="121">
        <f t="shared" si="21"/>
        <v>355.76500000000004</v>
      </c>
      <c r="J82" s="121">
        <f t="shared" si="21"/>
        <v>1848.372</v>
      </c>
      <c r="K82" s="121">
        <f t="shared" si="21"/>
        <v>1854.5590000000002</v>
      </c>
      <c r="L82" s="121">
        <f t="shared" si="21"/>
        <v>1860.857</v>
      </c>
      <c r="M82" s="121">
        <f t="shared" si="21"/>
        <v>448.04</v>
      </c>
      <c r="N82" s="121">
        <f t="shared" si="21"/>
        <v>0</v>
      </c>
      <c r="O82" s="121">
        <f t="shared" si="21"/>
        <v>1635.631</v>
      </c>
      <c r="P82" s="121">
        <f t="shared" si="21"/>
        <v>1192.663</v>
      </c>
      <c r="Q82" s="121">
        <f t="shared" si="21"/>
        <v>0</v>
      </c>
      <c r="R82" s="121">
        <f t="shared" si="21"/>
        <v>2642.032</v>
      </c>
      <c r="S82" s="121">
        <f t="shared" si="21"/>
        <v>0</v>
      </c>
      <c r="T82" s="121">
        <f>SUM(T83:T89)</f>
        <v>7591.382999999999</v>
      </c>
      <c r="U82" s="121">
        <f t="shared" si="21"/>
        <v>4125.9259999999995</v>
      </c>
      <c r="V82" s="121">
        <f t="shared" si="21"/>
        <v>0</v>
      </c>
      <c r="W82" s="121">
        <f t="shared" si="21"/>
        <v>0</v>
      </c>
      <c r="X82" s="121">
        <f t="shared" si="21"/>
        <v>-0.11879999999999999</v>
      </c>
      <c r="Y82" s="121">
        <f t="shared" si="21"/>
        <v>0</v>
      </c>
      <c r="Z82" s="121">
        <f t="shared" si="21"/>
        <v>0</v>
      </c>
      <c r="AA82" s="121">
        <f t="shared" si="21"/>
        <v>27014.638199999998</v>
      </c>
      <c r="AB82" s="104">
        <f aca="true" t="shared" si="22" ref="AB82:AB89">AA82-C82</f>
        <v>-8160.684710000005</v>
      </c>
      <c r="AC82" s="69"/>
      <c r="AD82" s="67"/>
      <c r="AE82" s="67"/>
      <c r="AF82" s="67"/>
      <c r="AG82" s="68"/>
      <c r="AH82" s="68"/>
      <c r="AI82" s="68"/>
      <c r="AJ82" s="68"/>
      <c r="AK82" s="68"/>
      <c r="AL82" s="68"/>
      <c r="AM82" s="68"/>
      <c r="AN82" s="68"/>
    </row>
    <row r="83" spans="1:40" s="72" customFormat="1" ht="15">
      <c r="A83" s="69"/>
      <c r="B83" s="107" t="s">
        <v>20</v>
      </c>
      <c r="C83" s="108">
        <f aca="true" t="shared" si="23" ref="C83:AA83">C20+C37+C43+C47+C51+C54+C59+C24</f>
        <v>21106.578</v>
      </c>
      <c r="D83" s="108">
        <f t="shared" si="23"/>
        <v>0</v>
      </c>
      <c r="E83" s="108">
        <f t="shared" si="23"/>
        <v>5.945</v>
      </c>
      <c r="F83" s="108">
        <f t="shared" si="23"/>
        <v>0</v>
      </c>
      <c r="G83" s="108">
        <f t="shared" si="23"/>
        <v>125.27</v>
      </c>
      <c r="H83" s="108">
        <f t="shared" si="23"/>
        <v>0</v>
      </c>
      <c r="I83" s="108">
        <f t="shared" si="23"/>
        <v>158.6</v>
      </c>
      <c r="J83" s="108">
        <f t="shared" si="23"/>
        <v>1430.317</v>
      </c>
      <c r="K83" s="108">
        <f t="shared" si="23"/>
        <v>1645.0290000000002</v>
      </c>
      <c r="L83" s="108">
        <f t="shared" si="23"/>
        <v>1594.567</v>
      </c>
      <c r="M83" s="108">
        <f t="shared" si="23"/>
        <v>0</v>
      </c>
      <c r="N83" s="108">
        <f t="shared" si="23"/>
        <v>0</v>
      </c>
      <c r="O83" s="108">
        <f t="shared" si="23"/>
        <v>0</v>
      </c>
      <c r="P83" s="108">
        <f t="shared" si="23"/>
        <v>8.771</v>
      </c>
      <c r="Q83" s="108">
        <f t="shared" si="23"/>
        <v>0</v>
      </c>
      <c r="R83" s="108">
        <f t="shared" si="23"/>
        <v>2070.782</v>
      </c>
      <c r="S83" s="108">
        <f t="shared" si="23"/>
        <v>0</v>
      </c>
      <c r="T83" s="108">
        <f t="shared" si="23"/>
        <v>6930.898999999999</v>
      </c>
      <c r="U83" s="108">
        <f t="shared" si="23"/>
        <v>3058.8469999999998</v>
      </c>
      <c r="V83" s="108">
        <f t="shared" si="23"/>
        <v>0</v>
      </c>
      <c r="W83" s="108">
        <f t="shared" si="23"/>
        <v>0</v>
      </c>
      <c r="X83" s="108">
        <f t="shared" si="23"/>
        <v>0</v>
      </c>
      <c r="Y83" s="108">
        <f t="shared" si="23"/>
        <v>0</v>
      </c>
      <c r="Z83" s="108">
        <f t="shared" si="23"/>
        <v>0</v>
      </c>
      <c r="AA83" s="108">
        <f t="shared" si="23"/>
        <v>17029.027</v>
      </c>
      <c r="AB83" s="104">
        <f t="shared" si="22"/>
        <v>-4077.551000000003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">
      <c r="A84" s="69"/>
      <c r="B84" s="107" t="s">
        <v>29</v>
      </c>
      <c r="C84" s="108">
        <f aca="true" t="shared" si="24" ref="C84:AA84">C25+C38+C60</f>
        <v>14.35051</v>
      </c>
      <c r="D84" s="108">
        <f t="shared" si="24"/>
        <v>0</v>
      </c>
      <c r="E84" s="108">
        <f t="shared" si="24"/>
        <v>0</v>
      </c>
      <c r="F84" s="108">
        <f t="shared" si="24"/>
        <v>0.198</v>
      </c>
      <c r="G84" s="108">
        <f t="shared" si="24"/>
        <v>1.796</v>
      </c>
      <c r="H84" s="108">
        <f t="shared" si="24"/>
        <v>0</v>
      </c>
      <c r="I84" s="108">
        <f t="shared" si="24"/>
        <v>0</v>
      </c>
      <c r="J84" s="108">
        <f t="shared" si="24"/>
        <v>0</v>
      </c>
      <c r="K84" s="108">
        <f t="shared" si="24"/>
        <v>0</v>
      </c>
      <c r="L84" s="108">
        <f t="shared" si="24"/>
        <v>0</v>
      </c>
      <c r="M84" s="108">
        <f t="shared" si="24"/>
        <v>0</v>
      </c>
      <c r="N84" s="108">
        <f t="shared" si="24"/>
        <v>0</v>
      </c>
      <c r="O84" s="108">
        <f t="shared" si="24"/>
        <v>0</v>
      </c>
      <c r="P84" s="108">
        <f t="shared" si="24"/>
        <v>0</v>
      </c>
      <c r="Q84" s="108">
        <f t="shared" si="24"/>
        <v>0</v>
      </c>
      <c r="R84" s="108">
        <f t="shared" si="24"/>
        <v>0</v>
      </c>
      <c r="S84" s="108">
        <f t="shared" si="24"/>
        <v>0</v>
      </c>
      <c r="T84" s="108">
        <f t="shared" si="24"/>
        <v>0</v>
      </c>
      <c r="U84" s="108">
        <f t="shared" si="24"/>
        <v>0</v>
      </c>
      <c r="V84" s="108">
        <f t="shared" si="24"/>
        <v>0</v>
      </c>
      <c r="W84" s="108">
        <f t="shared" si="24"/>
        <v>0</v>
      </c>
      <c r="X84" s="108">
        <f t="shared" si="24"/>
        <v>0</v>
      </c>
      <c r="Y84" s="108">
        <f t="shared" si="24"/>
        <v>0</v>
      </c>
      <c r="Z84" s="108">
        <f t="shared" si="24"/>
        <v>0</v>
      </c>
      <c r="AA84" s="108">
        <f t="shared" si="24"/>
        <v>1.994</v>
      </c>
      <c r="AB84" s="104">
        <f t="shared" si="22"/>
        <v>-12.35651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">
      <c r="A85" s="69"/>
      <c r="B85" s="107" t="s">
        <v>31</v>
      </c>
      <c r="C85" s="108">
        <f aca="true" t="shared" si="25" ref="C85:AA85">C26+C39</f>
        <v>1069.0430000000001</v>
      </c>
      <c r="D85" s="108">
        <f t="shared" si="25"/>
        <v>0</v>
      </c>
      <c r="E85" s="108">
        <f t="shared" si="25"/>
        <v>0</v>
      </c>
      <c r="F85" s="108">
        <f t="shared" si="25"/>
        <v>55.43</v>
      </c>
      <c r="G85" s="108">
        <f t="shared" si="25"/>
        <v>0</v>
      </c>
      <c r="H85" s="108">
        <f t="shared" si="25"/>
        <v>0</v>
      </c>
      <c r="I85" s="108">
        <f t="shared" si="25"/>
        <v>124.975</v>
      </c>
      <c r="J85" s="108">
        <f t="shared" si="25"/>
        <v>30.18</v>
      </c>
      <c r="K85" s="108">
        <f t="shared" si="25"/>
        <v>84.243</v>
      </c>
      <c r="L85" s="108">
        <f t="shared" si="25"/>
        <v>47.022</v>
      </c>
      <c r="M85" s="108">
        <f t="shared" si="25"/>
        <v>0</v>
      </c>
      <c r="N85" s="108">
        <f t="shared" si="25"/>
        <v>0</v>
      </c>
      <c r="O85" s="108">
        <f t="shared" si="25"/>
        <v>160.949</v>
      </c>
      <c r="P85" s="108">
        <f t="shared" si="25"/>
        <v>36.053</v>
      </c>
      <c r="Q85" s="108">
        <f t="shared" si="25"/>
        <v>0</v>
      </c>
      <c r="R85" s="108">
        <f t="shared" si="25"/>
        <v>120.873</v>
      </c>
      <c r="S85" s="108">
        <f t="shared" si="25"/>
        <v>0</v>
      </c>
      <c r="T85" s="108">
        <f t="shared" si="25"/>
        <v>121.918</v>
      </c>
      <c r="U85" s="108">
        <f t="shared" si="25"/>
        <v>20.593</v>
      </c>
      <c r="V85" s="108">
        <f t="shared" si="25"/>
        <v>0</v>
      </c>
      <c r="W85" s="108">
        <f t="shared" si="25"/>
        <v>0</v>
      </c>
      <c r="X85" s="108">
        <f t="shared" si="25"/>
        <v>0</v>
      </c>
      <c r="Y85" s="108">
        <f t="shared" si="25"/>
        <v>0</v>
      </c>
      <c r="Z85" s="108">
        <f t="shared" si="25"/>
        <v>0</v>
      </c>
      <c r="AA85" s="108">
        <f t="shared" si="25"/>
        <v>802.2360000000001</v>
      </c>
      <c r="AB85" s="104">
        <f t="shared" si="22"/>
        <v>-266.807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">
      <c r="A86" s="69"/>
      <c r="B86" s="107" t="s">
        <v>22</v>
      </c>
      <c r="C86" s="108">
        <f aca="true" t="shared" si="26" ref="C86:AA86">C21+C27+C40+C44+C48+C55+C61+C68</f>
        <v>1027.792</v>
      </c>
      <c r="D86" s="108">
        <f t="shared" si="26"/>
        <v>0</v>
      </c>
      <c r="E86" s="108">
        <f t="shared" si="26"/>
        <v>0</v>
      </c>
      <c r="F86" s="108">
        <f t="shared" si="26"/>
        <v>0.6910000000000001</v>
      </c>
      <c r="G86" s="108">
        <f t="shared" si="26"/>
        <v>8.125</v>
      </c>
      <c r="H86" s="108">
        <f t="shared" si="26"/>
        <v>0</v>
      </c>
      <c r="I86" s="108">
        <f t="shared" si="26"/>
        <v>1.766</v>
      </c>
      <c r="J86" s="108">
        <f t="shared" si="26"/>
        <v>6.083</v>
      </c>
      <c r="K86" s="108">
        <f t="shared" si="26"/>
        <v>0</v>
      </c>
      <c r="L86" s="108">
        <f t="shared" si="26"/>
        <v>1.471</v>
      </c>
      <c r="M86" s="108">
        <f t="shared" si="26"/>
        <v>0.119</v>
      </c>
      <c r="N86" s="108">
        <f t="shared" si="26"/>
        <v>0</v>
      </c>
      <c r="O86" s="108">
        <f t="shared" si="26"/>
        <v>20.349999999999998</v>
      </c>
      <c r="P86" s="108">
        <f t="shared" si="26"/>
        <v>43.89000000000001</v>
      </c>
      <c r="Q86" s="108">
        <f t="shared" si="26"/>
        <v>0</v>
      </c>
      <c r="R86" s="108">
        <f t="shared" si="26"/>
        <v>83.054</v>
      </c>
      <c r="S86" s="108">
        <f t="shared" si="26"/>
        <v>0</v>
      </c>
      <c r="T86" s="108">
        <f t="shared" si="26"/>
        <v>39.576</v>
      </c>
      <c r="U86" s="108">
        <f t="shared" si="26"/>
        <v>20.38</v>
      </c>
      <c r="V86" s="108">
        <f t="shared" si="26"/>
        <v>0</v>
      </c>
      <c r="W86" s="108">
        <f t="shared" si="26"/>
        <v>0</v>
      </c>
      <c r="X86" s="108">
        <f t="shared" si="26"/>
        <v>-0.118</v>
      </c>
      <c r="Y86" s="108">
        <f t="shared" si="26"/>
        <v>0</v>
      </c>
      <c r="Z86" s="108">
        <f t="shared" si="26"/>
        <v>0</v>
      </c>
      <c r="AA86" s="108">
        <f t="shared" si="26"/>
        <v>225.38699999999997</v>
      </c>
      <c r="AB86" s="104">
        <f t="shared" si="22"/>
        <v>-802.405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">
      <c r="A87" s="69"/>
      <c r="B87" s="107" t="s">
        <v>47</v>
      </c>
      <c r="C87" s="108">
        <f aca="true" t="shared" si="27" ref="C87:AA87">C56+C74</f>
        <v>264.95799999999997</v>
      </c>
      <c r="D87" s="108">
        <f t="shared" si="27"/>
        <v>0</v>
      </c>
      <c r="E87" s="108">
        <f t="shared" si="27"/>
        <v>0</v>
      </c>
      <c r="F87" s="108">
        <f t="shared" si="27"/>
        <v>0</v>
      </c>
      <c r="G87" s="108">
        <f t="shared" si="27"/>
        <v>0</v>
      </c>
      <c r="H87" s="108">
        <f t="shared" si="27"/>
        <v>0</v>
      </c>
      <c r="I87" s="108">
        <f t="shared" si="27"/>
        <v>0</v>
      </c>
      <c r="J87" s="108">
        <f t="shared" si="27"/>
        <v>0</v>
      </c>
      <c r="K87" s="108">
        <f t="shared" si="27"/>
        <v>0</v>
      </c>
      <c r="L87" s="108">
        <f t="shared" si="27"/>
        <v>0</v>
      </c>
      <c r="M87" s="108">
        <f t="shared" si="27"/>
        <v>0</v>
      </c>
      <c r="N87" s="108">
        <f t="shared" si="27"/>
        <v>0</v>
      </c>
      <c r="O87" s="108">
        <f t="shared" si="27"/>
        <v>0</v>
      </c>
      <c r="P87" s="108">
        <f t="shared" si="27"/>
        <v>0</v>
      </c>
      <c r="Q87" s="108">
        <f t="shared" si="27"/>
        <v>0</v>
      </c>
      <c r="R87" s="108">
        <f t="shared" si="27"/>
        <v>0</v>
      </c>
      <c r="S87" s="108">
        <f t="shared" si="27"/>
        <v>0</v>
      </c>
      <c r="T87" s="108">
        <f t="shared" si="27"/>
        <v>0</v>
      </c>
      <c r="U87" s="108">
        <f t="shared" si="27"/>
        <v>0</v>
      </c>
      <c r="V87" s="108">
        <f t="shared" si="27"/>
        <v>0</v>
      </c>
      <c r="W87" s="108">
        <f t="shared" si="27"/>
        <v>0</v>
      </c>
      <c r="X87" s="108">
        <f t="shared" si="27"/>
        <v>0</v>
      </c>
      <c r="Y87" s="108">
        <f t="shared" si="27"/>
        <v>0</v>
      </c>
      <c r="Z87" s="108">
        <f t="shared" si="27"/>
        <v>0</v>
      </c>
      <c r="AA87" s="108">
        <f t="shared" si="27"/>
        <v>0</v>
      </c>
      <c r="AB87" s="104">
        <f t="shared" si="22"/>
        <v>-264.95799999999997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">
      <c r="A88" s="69"/>
      <c r="B88" s="107" t="s">
        <v>35</v>
      </c>
      <c r="C88" s="108">
        <f>C30+C52+C62+C66+C31+C69+C78+C79+C80</f>
        <v>3784.6229999999996</v>
      </c>
      <c r="D88" s="108">
        <f aca="true" t="shared" si="28" ref="D88:AA88">D30+D52+D62+D66+D31+D69+D78+D79+D80</f>
        <v>0</v>
      </c>
      <c r="E88" s="108">
        <f t="shared" si="28"/>
        <v>30.374000000000002</v>
      </c>
      <c r="F88" s="108">
        <f t="shared" si="28"/>
        <v>125.57799999999999</v>
      </c>
      <c r="G88" s="108">
        <f t="shared" si="28"/>
        <v>867.0459999999999</v>
      </c>
      <c r="H88" s="108">
        <f t="shared" si="28"/>
        <v>3.283</v>
      </c>
      <c r="I88" s="108">
        <f t="shared" si="28"/>
        <v>47.942</v>
      </c>
      <c r="J88" s="108">
        <f t="shared" si="28"/>
        <v>21.435</v>
      </c>
      <c r="K88" s="108">
        <f t="shared" si="28"/>
        <v>0</v>
      </c>
      <c r="L88" s="108">
        <f t="shared" si="28"/>
        <v>17.549</v>
      </c>
      <c r="M88" s="108">
        <f t="shared" si="28"/>
        <v>6.148</v>
      </c>
      <c r="N88" s="108">
        <f t="shared" si="28"/>
        <v>0</v>
      </c>
      <c r="O88" s="108">
        <f t="shared" si="28"/>
        <v>86.9</v>
      </c>
      <c r="P88" s="108">
        <f t="shared" si="28"/>
        <v>612.362</v>
      </c>
      <c r="Q88" s="108">
        <f>Q30+Q52+Q62+Q66+Q31+Q69+Q78+Q79+Q80</f>
        <v>0</v>
      </c>
      <c r="R88" s="108">
        <f>R30+R52+R62+R66+R31+R69+R78+R79+R80</f>
        <v>10.131</v>
      </c>
      <c r="S88" s="108">
        <f t="shared" si="28"/>
        <v>0</v>
      </c>
      <c r="T88" s="108">
        <f t="shared" si="28"/>
        <v>14.713</v>
      </c>
      <c r="U88" s="108">
        <f t="shared" si="28"/>
        <v>125.251</v>
      </c>
      <c r="V88" s="108">
        <f t="shared" si="28"/>
        <v>0</v>
      </c>
      <c r="W88" s="108">
        <f t="shared" si="28"/>
        <v>0</v>
      </c>
      <c r="X88" s="108">
        <f t="shared" si="28"/>
        <v>0</v>
      </c>
      <c r="Y88" s="108">
        <f t="shared" si="28"/>
        <v>0</v>
      </c>
      <c r="Z88" s="108">
        <f t="shared" si="28"/>
        <v>0</v>
      </c>
      <c r="AA88" s="108">
        <f t="shared" si="28"/>
        <v>1968.7119999999998</v>
      </c>
      <c r="AB88" s="104">
        <f t="shared" si="22"/>
        <v>-1815.9109999999998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">
      <c r="A89" s="69"/>
      <c r="B89" s="107" t="s">
        <v>24</v>
      </c>
      <c r="C89" s="108">
        <f>C22+C28+C32+C33+C34+C41+C45+C49+C57+C63+C72+C76+C77+C81+C65+C75+C73+C35+C70</f>
        <v>7907.978399999999</v>
      </c>
      <c r="D89" s="108">
        <f aca="true" t="shared" si="29" ref="D89:AA89">D22+D28+D32+D33+D41+D45+D49+D57+D63+D72+D76+D77+D81+D65+D75+D73+D35+D70+D34</f>
        <v>67.47</v>
      </c>
      <c r="E89" s="108">
        <f t="shared" si="29"/>
        <v>167.211</v>
      </c>
      <c r="F89" s="108">
        <f t="shared" si="29"/>
        <v>356.257</v>
      </c>
      <c r="G89" s="108">
        <f t="shared" si="29"/>
        <v>466.38699999999994</v>
      </c>
      <c r="H89" s="108">
        <f t="shared" si="29"/>
        <v>1178.4679999999998</v>
      </c>
      <c r="I89" s="108">
        <f t="shared" si="29"/>
        <v>22.482000000000003</v>
      </c>
      <c r="J89" s="108">
        <f t="shared" si="29"/>
        <v>360.357</v>
      </c>
      <c r="K89" s="108">
        <f t="shared" si="29"/>
        <v>125.287</v>
      </c>
      <c r="L89" s="108">
        <f t="shared" si="29"/>
        <v>200.24800000000002</v>
      </c>
      <c r="M89" s="108">
        <f t="shared" si="29"/>
        <v>441.773</v>
      </c>
      <c r="N89" s="108">
        <f t="shared" si="29"/>
        <v>0</v>
      </c>
      <c r="O89" s="108">
        <f t="shared" si="29"/>
        <v>1367.432</v>
      </c>
      <c r="P89" s="108">
        <f t="shared" si="29"/>
        <v>491.587</v>
      </c>
      <c r="Q89" s="108">
        <f t="shared" si="29"/>
        <v>0</v>
      </c>
      <c r="R89" s="108">
        <f t="shared" si="29"/>
        <v>357.19199999999995</v>
      </c>
      <c r="S89" s="108">
        <f t="shared" si="29"/>
        <v>0</v>
      </c>
      <c r="T89" s="108">
        <f t="shared" si="29"/>
        <v>484.277</v>
      </c>
      <c r="U89" s="108">
        <f t="shared" si="29"/>
        <v>900.855</v>
      </c>
      <c r="V89" s="108">
        <f t="shared" si="29"/>
        <v>0</v>
      </c>
      <c r="W89" s="108">
        <f t="shared" si="29"/>
        <v>0</v>
      </c>
      <c r="X89" s="108">
        <f t="shared" si="29"/>
        <v>-0.0008</v>
      </c>
      <c r="Y89" s="108">
        <f t="shared" si="29"/>
        <v>0</v>
      </c>
      <c r="Z89" s="108">
        <f t="shared" si="29"/>
        <v>0</v>
      </c>
      <c r="AA89" s="108">
        <f t="shared" si="29"/>
        <v>6987.282200000001</v>
      </c>
      <c r="AB89" s="104">
        <f t="shared" si="22"/>
        <v>-920.6961999999985</v>
      </c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">
      <c r="A90" s="69"/>
      <c r="B90" s="69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">
      <c r="A91" s="69"/>
      <c r="B91" s="69" t="s">
        <v>65</v>
      </c>
      <c r="C91" s="124">
        <f aca="true" t="shared" si="30" ref="C91:AA91">C18-C82</f>
        <v>0</v>
      </c>
      <c r="D91" s="124">
        <f t="shared" si="30"/>
        <v>0</v>
      </c>
      <c r="E91" s="124">
        <f t="shared" si="30"/>
        <v>0</v>
      </c>
      <c r="F91" s="124">
        <f t="shared" si="30"/>
        <v>0</v>
      </c>
      <c r="G91" s="124">
        <f t="shared" si="30"/>
        <v>0</v>
      </c>
      <c r="H91" s="124">
        <f t="shared" si="30"/>
        <v>0</v>
      </c>
      <c r="I91" s="124">
        <f t="shared" si="30"/>
        <v>0</v>
      </c>
      <c r="J91" s="124">
        <f t="shared" si="30"/>
        <v>0</v>
      </c>
      <c r="K91" s="124">
        <f t="shared" si="30"/>
        <v>0</v>
      </c>
      <c r="L91" s="124">
        <f t="shared" si="30"/>
        <v>0</v>
      </c>
      <c r="M91" s="124">
        <f t="shared" si="30"/>
        <v>0</v>
      </c>
      <c r="N91" s="124">
        <f t="shared" si="30"/>
        <v>0</v>
      </c>
      <c r="O91" s="124">
        <f t="shared" si="30"/>
        <v>0</v>
      </c>
      <c r="P91" s="124">
        <f t="shared" si="30"/>
        <v>0</v>
      </c>
      <c r="Q91" s="124">
        <f t="shared" si="30"/>
        <v>0</v>
      </c>
      <c r="R91" s="124">
        <f t="shared" si="30"/>
        <v>0</v>
      </c>
      <c r="S91" s="124">
        <f t="shared" si="30"/>
        <v>0</v>
      </c>
      <c r="T91" s="124">
        <f t="shared" si="30"/>
        <v>0</v>
      </c>
      <c r="U91" s="124">
        <f t="shared" si="30"/>
        <v>0</v>
      </c>
      <c r="V91" s="124">
        <f t="shared" si="30"/>
        <v>0</v>
      </c>
      <c r="W91" s="124">
        <f t="shared" si="30"/>
        <v>0</v>
      </c>
      <c r="X91" s="124">
        <f t="shared" si="30"/>
        <v>0</v>
      </c>
      <c r="Y91" s="124">
        <f t="shared" si="30"/>
        <v>0</v>
      </c>
      <c r="Z91" s="124">
        <f t="shared" si="30"/>
        <v>0</v>
      </c>
      <c r="AA91" s="124">
        <f t="shared" si="30"/>
        <v>0</v>
      </c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3" spans="1:40" s="72" customFormat="1" ht="15">
      <c r="A93" s="69"/>
      <c r="B93" s="69"/>
      <c r="C93" s="126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71"/>
      <c r="AC93" s="69"/>
      <c r="AG93" s="73"/>
      <c r="AH93" s="73"/>
      <c r="AI93" s="73"/>
      <c r="AJ93" s="73"/>
      <c r="AK93" s="73"/>
      <c r="AL93" s="73"/>
      <c r="AM93" s="73"/>
      <c r="AN93" s="73"/>
    </row>
    <row r="95" spans="1:40" s="72" customFormat="1" ht="1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71"/>
      <c r="AC95" s="127"/>
      <c r="AG95" s="73"/>
      <c r="AH95" s="73"/>
      <c r="AI95" s="73"/>
      <c r="AJ95" s="73"/>
      <c r="AK95" s="73"/>
      <c r="AL95" s="73"/>
      <c r="AM95" s="73"/>
      <c r="AN95" s="73"/>
    </row>
    <row r="174" ht="15">
      <c r="B174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2019-11-27T09:07:42Z</cp:lastPrinted>
  <dcterms:created xsi:type="dcterms:W3CDTF">2019-11-27T07:51:11Z</dcterms:created>
  <dcterms:modified xsi:type="dcterms:W3CDTF">2019-12-03T12:55:49Z</dcterms:modified>
  <cp:category/>
  <cp:version/>
  <cp:contentType/>
  <cp:contentStatus/>
</cp:coreProperties>
</file>