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5" activeTab="5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червень 19" sheetId="6" r:id="rId6"/>
    <sheet name="Лист2" sheetId="7" r:id="rId7"/>
  </sheets>
  <definedNames>
    <definedName name="_xlnm.Print_Area" localSheetId="3">'квітень 19'!$B$1:$AN$173</definedName>
    <definedName name="_xlnm.Print_Area" localSheetId="4">'травень 19'!$B$1:$AG$173</definedName>
    <definedName name="_xlnm.Print_Area" localSheetId="5">'червень 19'!$B$1:$AG$173</definedName>
  </definedNames>
  <calcPr fullCalcOnLoad="1"/>
</workbook>
</file>

<file path=xl/sharedStrings.xml><?xml version="1.0" encoding="utf-8"?>
<sst xmlns="http://schemas.openxmlformats.org/spreadsheetml/2006/main" count="605" uniqueCount="72">
  <si>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</si>
  <si>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</si>
  <si>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</si>
  <si>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</si>
  <si>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</si>
  <si>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</si>
  <si>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</si>
  <si>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</si>
  <si>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</si>
  <si>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</si>
  <si>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</si>
  <si>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</si>
  <si>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</si>
  <si>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</si>
  <si>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</si>
  <si>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</si>
  <si>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</si>
  <si>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</si>
  <si>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</si>
  <si>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</si>
  <si>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</si>
  <si>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</si>
  <si>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</si>
  <si>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</si>
  <si>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</si>
  <si>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</si>
  <si>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</si>
  <si>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</si>
  <si>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</si>
  <si>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</si>
  <si>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</si>
  <si>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</si>
  <si>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</si>
  <si>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</si>
  <si>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</si>
  <si>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</si>
  <si>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</si>
  <si>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</si>
  <si>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</si>
  <si>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</si>
  <si>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</si>
  <si>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</si>
  <si>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</si>
  <si>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</si>
  <si>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</si>
  <si>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</si>
  <si>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</si>
  <si>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</si>
  <si>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</si>
  <si>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</si>
  <si>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</si>
  <si>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</si>
  <si>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</si>
  <si>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</si>
  <si>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</si>
  <si>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</si>
  <si>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</si>
  <si>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</si>
  <si>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</si>
  <si>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</si>
  <si>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</si>
  <si>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</si>
  <si>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</si>
  <si>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</si>
  <si>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</si>
  <si>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</si>
  <si>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</si>
  <si>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t>Заходи з енергозбереження (7640)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</si>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</sst>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2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9" fillId="24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8" fontId="17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31"/>
          <c:y val="0.16175"/>
          <c:w val="0.35"/>
          <c:h val="0.46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'січень 19'!$AA$75:$AA$81</c:f>
              <c:numCache>
                <c:ptCount val="7"/>
                <c:pt idx="0">
                  <c:v>11565.213</c:v>
                </c:pt>
                <c:pt idx="1">
                  <c:v>0</c:v>
                </c:pt>
                <c:pt idx="2">
                  <c:v>314.969</c:v>
                </c:pt>
                <c:pt idx="3">
                  <c:v>154.40800000000002</c:v>
                </c:pt>
                <c:pt idx="4">
                  <c:v>0.38</c:v>
                </c:pt>
                <c:pt idx="5">
                  <c:v>3151.379</c:v>
                </c:pt>
                <c:pt idx="6">
                  <c:v>458.97799999999995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"/>
          <c:y val="0.897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8"/>
          <c:y val="0.16325"/>
          <c:w val="0.32925"/>
          <c:h val="0.37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'березень 19'!$AE$20:$AE$27</c:f>
              <c:numCache>
                <c:ptCount val="8"/>
                <c:pt idx="0">
                  <c:v>4971.697</c:v>
                </c:pt>
                <c:pt idx="1">
                  <c:v>11005.14</c:v>
                </c:pt>
                <c:pt idx="2">
                  <c:v>171.64100000000002</c:v>
                </c:pt>
                <c:pt idx="3">
                  <c:v>1035.0420000000001</c:v>
                </c:pt>
                <c:pt idx="4">
                  <c:v>2200.289</c:v>
                </c:pt>
                <c:pt idx="5">
                  <c:v>577.138</c:v>
                </c:pt>
                <c:pt idx="6">
                  <c:v>405.13900000000007</c:v>
                </c:pt>
                <c:pt idx="7">
                  <c:v>5097.5960000000005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5"/>
          <c:y val="0.6655"/>
          <c:w val="0.88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5"/>
          <c:y val="0.481"/>
          <c:w val="0.68225"/>
          <c:h val="0.426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'березень 19'!$D$5:$X$5</c:f>
              <c:numCache>
                <c:ptCount val="2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numCache>
            </c:numRef>
          </c:cat>
          <c:val>
            <c:numRef>
              <c:f>'березень 19'!$D$7:$X$7</c:f>
              <c:numCache>
                <c:ptCount val="20"/>
                <c:pt idx="0">
                  <c:v>1800.1</c:v>
                </c:pt>
                <c:pt idx="5">
                  <c:v>1800.2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'березень 19'!$D$5:$X$5</c:f>
              <c:numCache>
                <c:ptCount val="2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numCache>
            </c:numRef>
          </c:cat>
          <c:val>
            <c:numRef>
              <c:f>'березень 19'!$D$8:$X$8</c:f>
              <c:numCache>
                <c:ptCount val="20"/>
                <c:pt idx="0">
                  <c:v>198.5</c:v>
                </c:pt>
                <c:pt idx="1">
                  <c:v>270.9</c:v>
                </c:pt>
                <c:pt idx="2">
                  <c:v>321.9</c:v>
                </c:pt>
                <c:pt idx="3">
                  <c:v>669.2</c:v>
                </c:pt>
                <c:pt idx="4">
                  <c:v>2973.5</c:v>
                </c:pt>
                <c:pt idx="5">
                  <c:v>198.10000000000002</c:v>
                </c:pt>
                <c:pt idx="6">
                  <c:v>220.9</c:v>
                </c:pt>
                <c:pt idx="7">
                  <c:v>543.7</c:v>
                </c:pt>
                <c:pt idx="8">
                  <c:v>678.3000000000001</c:v>
                </c:pt>
                <c:pt idx="9">
                  <c:v>857.7999999999998</c:v>
                </c:pt>
                <c:pt idx="10">
                  <c:v>510.3</c:v>
                </c:pt>
                <c:pt idx="11">
                  <c:v>531.2</c:v>
                </c:pt>
                <c:pt idx="12">
                  <c:v>823.2000000000002</c:v>
                </c:pt>
                <c:pt idx="13">
                  <c:v>997.7</c:v>
                </c:pt>
                <c:pt idx="14">
                  <c:v>798.2</c:v>
                </c:pt>
                <c:pt idx="15">
                  <c:v>499.8</c:v>
                </c:pt>
                <c:pt idx="16">
                  <c:v>932.7</c:v>
                </c:pt>
                <c:pt idx="17">
                  <c:v>1999.8000000000002</c:v>
                </c:pt>
                <c:pt idx="18">
                  <c:v>1358.8</c:v>
                </c:pt>
                <c:pt idx="19">
                  <c:v>623.8000000000001</c:v>
                </c:pt>
              </c:numCache>
            </c:numRef>
          </c:val>
          <c:smooth val="0"/>
        </c:ser>
        <c:marker val="1"/>
        <c:axId val="13744885"/>
        <c:axId val="56595102"/>
      </c:line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6595102"/>
        <c:crosses val="autoZero"/>
        <c:auto val="1"/>
        <c:lblOffset val="100"/>
        <c:tickLblSkip val="1"/>
        <c:noMultiLvlLbl val="0"/>
      </c:catAx>
      <c:valAx>
        <c:axId val="56595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13744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05"/>
          <c:y val="0.915"/>
          <c:w val="0.809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7075"/>
          <c:y val="0.233"/>
          <c:w val="0.24975"/>
          <c:h val="0.2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'березень 19'!$C$9:$C$16</c:f>
              <c:numCache>
                <c:ptCount val="8"/>
                <c:pt idx="0">
                  <c:v>10202.6</c:v>
                </c:pt>
                <c:pt idx="1">
                  <c:v>0</c:v>
                </c:pt>
                <c:pt idx="2">
                  <c:v>323.49999999999994</c:v>
                </c:pt>
                <c:pt idx="3">
                  <c:v>1012.5</c:v>
                </c:pt>
                <c:pt idx="4">
                  <c:v>2525.6</c:v>
                </c:pt>
                <c:pt idx="5">
                  <c:v>1345</c:v>
                </c:pt>
                <c:pt idx="6">
                  <c:v>235.59999999999994</c:v>
                </c:pt>
                <c:pt idx="7">
                  <c:v>363.5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019"/>
          <c:w val="0.224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49"/>
          <c:y val="0.16175"/>
          <c:w val="0.3955"/>
          <c:h val="0.5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'квітень 19'!$AA$82:$AA$88</c:f>
              <c:numCache>
                <c:ptCount val="7"/>
                <c:pt idx="0">
                  <c:v>12128.069</c:v>
                </c:pt>
                <c:pt idx="1">
                  <c:v>3.5820000000000003</c:v>
                </c:pt>
                <c:pt idx="2">
                  <c:v>562.2379999999999</c:v>
                </c:pt>
                <c:pt idx="3">
                  <c:v>1840.004</c:v>
                </c:pt>
                <c:pt idx="4">
                  <c:v>163.72199999999998</c:v>
                </c:pt>
                <c:pt idx="5">
                  <c:v>2678.6200000000003</c:v>
                </c:pt>
                <c:pt idx="6">
                  <c:v>6076.467000000001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75"/>
          <c:y val="0.8737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24"/>
          <c:y val="0.19675"/>
          <c:w val="0.423"/>
          <c:h val="0.4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'квітень 19'!$AE$20:$AE$27</c:f>
              <c:numCache>
                <c:ptCount val="8"/>
                <c:pt idx="0">
                  <c:v>3173.383</c:v>
                </c:pt>
                <c:pt idx="1">
                  <c:v>10661.850999999999</c:v>
                </c:pt>
                <c:pt idx="2">
                  <c:v>345.916</c:v>
                </c:pt>
                <c:pt idx="3">
                  <c:v>1302.183</c:v>
                </c:pt>
                <c:pt idx="4">
                  <c:v>2103.893</c:v>
                </c:pt>
                <c:pt idx="5">
                  <c:v>686.818</c:v>
                </c:pt>
                <c:pt idx="6">
                  <c:v>451.067</c:v>
                </c:pt>
                <c:pt idx="7">
                  <c:v>4727.591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84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225"/>
          <c:w val="0.646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'квітень 19'!$D$5:$X$5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'квітень 19'!$D$7:$X$7</c:f>
              <c:numCache>
                <c:ptCount val="20"/>
                <c:pt idx="0">
                  <c:v>1800.1</c:v>
                </c:pt>
                <c:pt idx="8">
                  <c:v>1800.2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'квітень 19'!$D$5:$X$5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</c:numCache>
            </c:numRef>
          </c:cat>
          <c:val>
            <c:numRef>
              <c:f>'квітень 19'!$D$8:$X$8</c:f>
              <c:numCache>
                <c:ptCount val="20"/>
                <c:pt idx="0">
                  <c:v>275.49999999999994</c:v>
                </c:pt>
                <c:pt idx="1">
                  <c:v>283.3999999999999</c:v>
                </c:pt>
                <c:pt idx="2">
                  <c:v>314.40000000000003</c:v>
                </c:pt>
                <c:pt idx="3">
                  <c:v>725.8</c:v>
                </c:pt>
                <c:pt idx="4">
                  <c:v>4062.9</c:v>
                </c:pt>
                <c:pt idx="5">
                  <c:v>2072.8999999999996</c:v>
                </c:pt>
                <c:pt idx="6">
                  <c:v>470</c:v>
                </c:pt>
                <c:pt idx="7">
                  <c:v>397.99999999999994</c:v>
                </c:pt>
                <c:pt idx="8">
                  <c:v>554.9000000000001</c:v>
                </c:pt>
                <c:pt idx="9">
                  <c:v>1252.4</c:v>
                </c:pt>
                <c:pt idx="10">
                  <c:v>1016.63</c:v>
                </c:pt>
                <c:pt idx="11">
                  <c:v>403.00000000000006</c:v>
                </c:pt>
                <c:pt idx="12">
                  <c:v>574.6</c:v>
                </c:pt>
                <c:pt idx="13">
                  <c:v>845</c:v>
                </c:pt>
                <c:pt idx="14">
                  <c:v>1500.1000000000001</c:v>
                </c:pt>
                <c:pt idx="15">
                  <c:v>1343.1999999999998</c:v>
                </c:pt>
                <c:pt idx="16">
                  <c:v>1017.8000000000001</c:v>
                </c:pt>
                <c:pt idx="17">
                  <c:v>2890.5</c:v>
                </c:pt>
                <c:pt idx="18">
                  <c:v>1790.3</c:v>
                </c:pt>
                <c:pt idx="19">
                  <c:v>1071.4</c:v>
                </c:pt>
              </c:numCache>
            </c:numRef>
          </c:val>
          <c:smooth val="0"/>
        </c:ser>
        <c:marker val="1"/>
        <c:axId val="39593871"/>
        <c:axId val="20800520"/>
      </c:line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0800520"/>
        <c:crosses val="autoZero"/>
        <c:auto val="1"/>
        <c:lblOffset val="100"/>
        <c:tickLblSkip val="1"/>
        <c:noMultiLvlLbl val="0"/>
      </c:catAx>
      <c:valAx>
        <c:axId val="20800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39593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"/>
          <c:y val="0.9345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8275"/>
          <c:y val="0.16975"/>
          <c:w val="0.29625"/>
          <c:h val="0.27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'квітень 19'!$C$9:$C$16</c:f>
              <c:numCache>
                <c:ptCount val="8"/>
                <c:pt idx="0">
                  <c:v>10659.599999999999</c:v>
                </c:pt>
                <c:pt idx="1">
                  <c:v>0</c:v>
                </c:pt>
                <c:pt idx="2">
                  <c:v>3217.2999999999997</c:v>
                </c:pt>
                <c:pt idx="3">
                  <c:v>3423.1</c:v>
                </c:pt>
                <c:pt idx="4">
                  <c:v>2728.9999999999995</c:v>
                </c:pt>
                <c:pt idx="5">
                  <c:v>2226</c:v>
                </c:pt>
                <c:pt idx="6">
                  <c:v>205.00000000000003</c:v>
                </c:pt>
                <c:pt idx="7">
                  <c:v>402.7300000000001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6425"/>
          <c:y val="0.2105"/>
          <c:w val="0.38725"/>
          <c:h val="0.50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025"/>
          <c:y val="0.8835"/>
          <c:w val="0.8602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355"/>
          <c:y val="0.1715"/>
          <c:w val="0.4035"/>
          <c:h val="0.48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5"/>
          <c:y val="0.8105"/>
          <c:w val="0.8872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5"/>
          <c:y val="0.08"/>
          <c:w val="0.609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'травень 19'!$D$5:$X$5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'травень 19'!$D$7:$X$7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'травень 19'!$D$5:$X$5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'травень 19'!$D$8:$X$8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2986953"/>
        <c:axId val="7120530"/>
      </c:line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7120530"/>
        <c:crosses val="autoZero"/>
        <c:auto val="1"/>
        <c:lblOffset val="100"/>
        <c:tickLblSkip val="1"/>
        <c:noMultiLvlLbl val="0"/>
      </c:catAx>
      <c:valAx>
        <c:axId val="7120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2986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225"/>
          <c:y val="0.918"/>
          <c:w val="0.81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45"/>
          <c:y val="0.1465"/>
          <c:w val="0.283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'січень 19'!$AE$20:$AE$27</c:f>
              <c:numCache>
                <c:ptCount val="8"/>
                <c:pt idx="0">
                  <c:v>2497.783</c:v>
                </c:pt>
                <c:pt idx="1">
                  <c:v>8359.530999999999</c:v>
                </c:pt>
                <c:pt idx="2">
                  <c:v>209.896</c:v>
                </c:pt>
                <c:pt idx="3">
                  <c:v>920.008</c:v>
                </c:pt>
                <c:pt idx="4">
                  <c:v>469</c:v>
                </c:pt>
                <c:pt idx="5">
                  <c:v>436.353</c:v>
                </c:pt>
                <c:pt idx="6">
                  <c:v>288.956</c:v>
                </c:pt>
                <c:pt idx="7">
                  <c:v>2463.8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875"/>
          <c:w val="0.888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7975"/>
          <c:y val="0.1575"/>
          <c:w val="0.2825"/>
          <c:h val="0.2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01"/>
          <c:w val="0.223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6575"/>
          <c:y val="0.209"/>
          <c:w val="0.38075"/>
          <c:h val="0.49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19'!$B$82:$B$88</c:f>
              <c:strCache/>
            </c:strRef>
          </c:cat>
          <c:val>
            <c:numRef>
              <c:f>'червень 19'!$AA$82:$AA$88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"/>
          <c:y val="0.8785"/>
          <c:w val="0.8602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825"/>
          <c:y val="0.221"/>
          <c:w val="0.4465"/>
          <c:h val="0.48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19'!$AD$20:$AD$27</c:f>
              <c:strCache/>
            </c:strRef>
          </c:cat>
          <c:val>
            <c:numRef>
              <c:f>'червень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82075"/>
          <c:w val="0.889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385"/>
          <c:w val="0.823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'червень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'червень 19'!$D$5:$X$5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'червень 19'!$D$7:$X$7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'червень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'червень 19'!$D$5:$X$5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'червень 19'!$D$8:$X$8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64084771"/>
        <c:axId val="39892028"/>
      </c:line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9892028"/>
        <c:crosses val="autoZero"/>
        <c:auto val="1"/>
        <c:lblOffset val="100"/>
        <c:tickLblSkip val="1"/>
        <c:noMultiLvlLbl val="0"/>
      </c:catAx>
      <c:valAx>
        <c:axId val="39892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64084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5"/>
          <c:y val="0.9195"/>
          <c:w val="0.81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20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085"/>
          <c:y val="0.20525"/>
          <c:w val="0.4695"/>
          <c:h val="0.42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19'!$B$9:$B$16</c:f>
              <c:strCache/>
            </c:strRef>
          </c:cat>
          <c:val>
            <c:numRef>
              <c:f>'червень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094"/>
          <c:w val="0.224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82"/>
          <c:w val="0.54525"/>
          <c:h val="0.581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</c:numCache>
            </c:numRef>
          </c:cat>
          <c:val>
            <c:numRef>
              <c:f>'січень 19'!$D$7:$X$7</c:f>
              <c:numCache>
                <c:ptCount val="21"/>
                <c:pt idx="1">
                  <c:v>1800.2</c:v>
                </c:pt>
                <c:pt idx="6">
                  <c:v>1800.1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</c:numCache>
            </c:numRef>
          </c:cat>
          <c:val>
            <c:numRef>
              <c:f>'січень 19'!$D$8:$X$8</c:f>
              <c:numCache>
                <c:ptCount val="21"/>
                <c:pt idx="0">
                  <c:v>0</c:v>
                </c:pt>
                <c:pt idx="1">
                  <c:v>339.5</c:v>
                </c:pt>
                <c:pt idx="2">
                  <c:v>1589.8000000000002</c:v>
                </c:pt>
                <c:pt idx="3">
                  <c:v>370.3</c:v>
                </c:pt>
                <c:pt idx="4">
                  <c:v>836.8000000000001</c:v>
                </c:pt>
                <c:pt idx="5">
                  <c:v>547.5</c:v>
                </c:pt>
                <c:pt idx="6">
                  <c:v>1209.6000000000001</c:v>
                </c:pt>
                <c:pt idx="7">
                  <c:v>451.5</c:v>
                </c:pt>
                <c:pt idx="8">
                  <c:v>832</c:v>
                </c:pt>
                <c:pt idx="9">
                  <c:v>606.2</c:v>
                </c:pt>
                <c:pt idx="10">
                  <c:v>710.4000000000001</c:v>
                </c:pt>
                <c:pt idx="11">
                  <c:v>683.5999999999999</c:v>
                </c:pt>
                <c:pt idx="12">
                  <c:v>1165.1</c:v>
                </c:pt>
                <c:pt idx="13">
                  <c:v>835.1999999999999</c:v>
                </c:pt>
                <c:pt idx="14">
                  <c:v>830.3</c:v>
                </c:pt>
                <c:pt idx="15">
                  <c:v>372.29999999999995</c:v>
                </c:pt>
                <c:pt idx="16">
                  <c:v>1919.9000000000003</c:v>
                </c:pt>
                <c:pt idx="17">
                  <c:v>1131.2</c:v>
                </c:pt>
                <c:pt idx="18">
                  <c:v>785.6</c:v>
                </c:pt>
                <c:pt idx="19">
                  <c:v>526.4</c:v>
                </c:pt>
                <c:pt idx="20">
                  <c:v>345.7</c:v>
                </c:pt>
              </c:numCache>
            </c:numRef>
          </c:val>
          <c:smooth val="0"/>
        </c:ser>
        <c:marker val="1"/>
        <c:axId val="39463457"/>
        <c:axId val="19626794"/>
      </c:line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9626794"/>
        <c:crosses val="autoZero"/>
        <c:auto val="1"/>
        <c:lblOffset val="100"/>
        <c:tickLblSkip val="1"/>
        <c:noMultiLvlLbl val="0"/>
      </c:catAx>
      <c:valAx>
        <c:axId val="19626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39463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75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625"/>
          <c:y val="0.099"/>
          <c:w val="0.33975"/>
          <c:h val="0.32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'січень 19'!$C$9:$C$16</c:f>
              <c:numCache>
                <c:ptCount val="8"/>
                <c:pt idx="0">
                  <c:v>8788.3</c:v>
                </c:pt>
                <c:pt idx="1">
                  <c:v>0</c:v>
                </c:pt>
                <c:pt idx="2">
                  <c:v>378.90000000000003</c:v>
                </c:pt>
                <c:pt idx="3">
                  <c:v>1899.1</c:v>
                </c:pt>
                <c:pt idx="4">
                  <c:v>1927.7000000000003</c:v>
                </c:pt>
                <c:pt idx="5">
                  <c:v>2489.2999999999997</c:v>
                </c:pt>
                <c:pt idx="6">
                  <c:v>229.50000000000003</c:v>
                </c:pt>
                <c:pt idx="7">
                  <c:v>376.0999999999999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"/>
          <c:w val="0.225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4025"/>
          <c:y val="0.15275"/>
          <c:w val="0.31975"/>
          <c:h val="0.41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'лютий 19'!$AA$79:$AA$85</c:f>
              <c:numCache>
                <c:ptCount val="7"/>
                <c:pt idx="0">
                  <c:v>11734.990000000002</c:v>
                </c:pt>
                <c:pt idx="1">
                  <c:v>5.695</c:v>
                </c:pt>
                <c:pt idx="2">
                  <c:v>667.4019999999999</c:v>
                </c:pt>
                <c:pt idx="3">
                  <c:v>2586.5010000000007</c:v>
                </c:pt>
                <c:pt idx="4">
                  <c:v>0</c:v>
                </c:pt>
                <c:pt idx="5">
                  <c:v>3890.5800000000004</c:v>
                </c:pt>
                <c:pt idx="6">
                  <c:v>1894.2670000000003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"/>
          <c:y val="0.884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24"/>
          <c:y val="0.24975"/>
          <c:w val="0.33625"/>
          <c:h val="0.39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'лютий 19'!$AE$20:$AE$27</c:f>
              <c:numCache>
                <c:ptCount val="8"/>
                <c:pt idx="0">
                  <c:v>2799.4009999999994</c:v>
                </c:pt>
                <c:pt idx="1">
                  <c:v>10953.262000000002</c:v>
                </c:pt>
                <c:pt idx="2">
                  <c:v>156.352</c:v>
                </c:pt>
                <c:pt idx="3">
                  <c:v>1204.264</c:v>
                </c:pt>
                <c:pt idx="4">
                  <c:v>1284.461</c:v>
                </c:pt>
                <c:pt idx="5">
                  <c:v>589.0880000000001</c:v>
                </c:pt>
                <c:pt idx="6">
                  <c:v>399.493</c:v>
                </c:pt>
                <c:pt idx="7">
                  <c:v>3357.2960000000003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802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13"/>
          <c:w val="0.70775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>
                <c:ptCount val="2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numCache>
            </c:numRef>
          </c:cat>
          <c:val>
            <c:numRef>
              <c:f>'лютий 19'!$D$7:$X$7</c:f>
              <c:numCache>
                <c:ptCount val="20"/>
                <c:pt idx="0">
                  <c:v>1800.1</c:v>
                </c:pt>
                <c:pt idx="6">
                  <c:v>1800.2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>
                <c:ptCount val="2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numCache>
            </c:numRef>
          </c:cat>
          <c:val>
            <c:numRef>
              <c:f>'лютий 19'!$D$8:$X$8</c:f>
              <c:numCache>
                <c:ptCount val="20"/>
                <c:pt idx="0">
                  <c:v>223.40000000000003</c:v>
                </c:pt>
                <c:pt idx="1">
                  <c:v>566.3</c:v>
                </c:pt>
                <c:pt idx="2">
                  <c:v>424.79999999999995</c:v>
                </c:pt>
                <c:pt idx="3">
                  <c:v>892.5</c:v>
                </c:pt>
                <c:pt idx="4">
                  <c:v>2692.6</c:v>
                </c:pt>
                <c:pt idx="5">
                  <c:v>720.9000000000001</c:v>
                </c:pt>
                <c:pt idx="6">
                  <c:v>378.70000000000005</c:v>
                </c:pt>
                <c:pt idx="7">
                  <c:v>481.6</c:v>
                </c:pt>
                <c:pt idx="8">
                  <c:v>1162.4</c:v>
                </c:pt>
                <c:pt idx="9">
                  <c:v>867.4</c:v>
                </c:pt>
                <c:pt idx="10">
                  <c:v>854.6999999999999</c:v>
                </c:pt>
                <c:pt idx="11">
                  <c:v>1017.4000000000001</c:v>
                </c:pt>
                <c:pt idx="12">
                  <c:v>695.1999999999999</c:v>
                </c:pt>
                <c:pt idx="13">
                  <c:v>692.6999999999999</c:v>
                </c:pt>
                <c:pt idx="14">
                  <c:v>1164.3</c:v>
                </c:pt>
                <c:pt idx="15">
                  <c:v>851.5999999999998</c:v>
                </c:pt>
                <c:pt idx="16">
                  <c:v>1235.1</c:v>
                </c:pt>
                <c:pt idx="17">
                  <c:v>992.6</c:v>
                </c:pt>
                <c:pt idx="18">
                  <c:v>1402.6</c:v>
                </c:pt>
                <c:pt idx="19">
                  <c:v>855.5999999999999</c:v>
                </c:pt>
              </c:numCache>
            </c:numRef>
          </c:val>
          <c:smooth val="0"/>
        </c:ser>
        <c:marker val="1"/>
        <c:axId val="42423419"/>
        <c:axId val="46266452"/>
      </c:line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2423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43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5"/>
          <c:y val="0.22375"/>
          <c:w val="0.37675"/>
          <c:h val="0.35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'лютий 19'!$C$9:$C$16</c:f>
              <c:numCache>
                <c:ptCount val="8"/>
                <c:pt idx="0">
                  <c:v>10615.300000000001</c:v>
                </c:pt>
                <c:pt idx="1">
                  <c:v>0</c:v>
                </c:pt>
                <c:pt idx="2">
                  <c:v>291.80000000000007</c:v>
                </c:pt>
                <c:pt idx="3">
                  <c:v>205.00000000000003</c:v>
                </c:pt>
                <c:pt idx="4">
                  <c:v>2713.0000000000005</c:v>
                </c:pt>
                <c:pt idx="5">
                  <c:v>3730.1</c:v>
                </c:pt>
                <c:pt idx="6">
                  <c:v>231.70000000000002</c:v>
                </c:pt>
                <c:pt idx="7">
                  <c:v>385.5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0175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925"/>
          <c:y val="0.15825"/>
          <c:w val="0.33425"/>
          <c:h val="0.43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'березень 19'!$AA$79:$AA$85</c:f>
              <c:numCache>
                <c:ptCount val="7"/>
                <c:pt idx="0">
                  <c:v>13987.779999999999</c:v>
                </c:pt>
                <c:pt idx="1">
                  <c:v>4.292</c:v>
                </c:pt>
                <c:pt idx="2">
                  <c:v>573.225</c:v>
                </c:pt>
                <c:pt idx="3">
                  <c:v>2353.6030000000005</c:v>
                </c:pt>
                <c:pt idx="4">
                  <c:v>0</c:v>
                </c:pt>
                <c:pt idx="5">
                  <c:v>4846.4490000000005</c:v>
                </c:pt>
                <c:pt idx="6">
                  <c:v>3805.3330000000005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85"/>
          <c:y val="0.8865"/>
          <c:w val="0.85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88</xdr:row>
      <xdr:rowOff>123825</xdr:rowOff>
    </xdr:from>
    <xdr:to>
      <xdr:col>33</xdr:col>
      <xdr:colOff>257175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063115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696950" y="26965275"/>
        <a:ext cx="108204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3455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89</xdr:row>
      <xdr:rowOff>95250</xdr:rowOff>
    </xdr:from>
    <xdr:to>
      <xdr:col>33</xdr:col>
      <xdr:colOff>257175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13696950" y="21555075"/>
        <a:ext cx="107727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7774900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390525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7765375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104775</xdr:rowOff>
    </xdr:from>
    <xdr:to>
      <xdr:col>17</xdr:col>
      <xdr:colOff>400050</xdr:colOff>
      <xdr:row>124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299335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91</xdr:row>
      <xdr:rowOff>123825</xdr:rowOff>
    </xdr:from>
    <xdr:to>
      <xdr:col>33</xdr:col>
      <xdr:colOff>257175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301240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19050</xdr:rowOff>
    </xdr:from>
    <xdr:to>
      <xdr:col>17</xdr:col>
      <xdr:colOff>485775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934652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9337000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91</xdr:row>
      <xdr:rowOff>19050</xdr:rowOff>
    </xdr:from>
    <xdr:to>
      <xdr:col>16</xdr:col>
      <xdr:colOff>390525</xdr:colOff>
      <xdr:row>123</xdr:row>
      <xdr:rowOff>152400</xdr:rowOff>
    </xdr:to>
    <xdr:graphicFrame>
      <xdr:nvGraphicFramePr>
        <xdr:cNvPr id="1" name="Диаграмма 1"/>
        <xdr:cNvGraphicFramePr/>
      </xdr:nvGraphicFramePr>
      <xdr:xfrm>
        <a:off x="47625" y="22002750"/>
        <a:ext cx="121062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609600</xdr:colOff>
      <xdr:row>91</xdr:row>
      <xdr:rowOff>19050</xdr:rowOff>
    </xdr:from>
    <xdr:to>
      <xdr:col>32</xdr:col>
      <xdr:colOff>323850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2372975" y="22002750"/>
        <a:ext cx="114490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152400</xdr:rowOff>
    </xdr:from>
    <xdr:to>
      <xdr:col>16</xdr:col>
      <xdr:colOff>390525</xdr:colOff>
      <xdr:row>160</xdr:row>
      <xdr:rowOff>85725</xdr:rowOff>
    </xdr:to>
    <xdr:graphicFrame>
      <xdr:nvGraphicFramePr>
        <xdr:cNvPr id="3" name="Диаграмма 10"/>
        <xdr:cNvGraphicFramePr/>
      </xdr:nvGraphicFramePr>
      <xdr:xfrm>
        <a:off x="0" y="27993975"/>
        <a:ext cx="1215390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533400</xdr:colOff>
      <xdr:row>127</xdr:row>
      <xdr:rowOff>19050</xdr:rowOff>
    </xdr:from>
    <xdr:to>
      <xdr:col>32</xdr:col>
      <xdr:colOff>295275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296775" y="28022550"/>
        <a:ext cx="114966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91</xdr:row>
      <xdr:rowOff>19050</xdr:rowOff>
    </xdr:from>
    <xdr:to>
      <xdr:col>16</xdr:col>
      <xdr:colOff>390525</xdr:colOff>
      <xdr:row>123</xdr:row>
      <xdr:rowOff>152400</xdr:rowOff>
    </xdr:to>
    <xdr:graphicFrame>
      <xdr:nvGraphicFramePr>
        <xdr:cNvPr id="1" name="Диаграмма 1"/>
        <xdr:cNvGraphicFramePr/>
      </xdr:nvGraphicFramePr>
      <xdr:xfrm>
        <a:off x="47625" y="21840825"/>
        <a:ext cx="121062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609600</xdr:colOff>
      <xdr:row>91</xdr:row>
      <xdr:rowOff>19050</xdr:rowOff>
    </xdr:from>
    <xdr:to>
      <xdr:col>32</xdr:col>
      <xdr:colOff>323850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2372975" y="21840825"/>
        <a:ext cx="101155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152400</xdr:rowOff>
    </xdr:from>
    <xdr:to>
      <xdr:col>16</xdr:col>
      <xdr:colOff>390525</xdr:colOff>
      <xdr:row>160</xdr:row>
      <xdr:rowOff>85725</xdr:rowOff>
    </xdr:to>
    <xdr:graphicFrame>
      <xdr:nvGraphicFramePr>
        <xdr:cNvPr id="3" name="Диаграмма 10"/>
        <xdr:cNvGraphicFramePr/>
      </xdr:nvGraphicFramePr>
      <xdr:xfrm>
        <a:off x="0" y="27832050"/>
        <a:ext cx="1215390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533400</xdr:colOff>
      <xdr:row>127</xdr:row>
      <xdr:rowOff>19050</xdr:rowOff>
    </xdr:from>
    <xdr:to>
      <xdr:col>32</xdr:col>
      <xdr:colOff>295275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296775" y="27860625"/>
        <a:ext cx="101631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595" topLeftCell="C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.7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.7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.7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5" topLeftCell="B1" activePane="bottomRight" state="split"/>
      <selection pane="topLeft" activeCell="B73" sqref="B73"/>
      <selection pane="topRight" activeCell="AJ5" sqref="AJ5"/>
      <selection pane="bottomLeft" activeCell="B5" sqref="B5"/>
      <selection pane="bottomRight" activeCell="AG17" sqref="AG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11</v>
      </c>
      <c r="J5" s="6">
        <v>12</v>
      </c>
      <c r="K5" s="5">
        <v>13</v>
      </c>
      <c r="L5" s="5">
        <v>14</v>
      </c>
      <c r="M5" s="5">
        <v>15</v>
      </c>
      <c r="N5" s="5">
        <v>18</v>
      </c>
      <c r="O5" s="5">
        <v>19</v>
      </c>
      <c r="P5" s="5">
        <v>20</v>
      </c>
      <c r="Q5" s="5">
        <v>21</v>
      </c>
      <c r="R5" s="5">
        <v>22</v>
      </c>
      <c r="S5" s="5">
        <v>25</v>
      </c>
      <c r="T5" s="5">
        <v>26</v>
      </c>
      <c r="U5" s="5">
        <v>27</v>
      </c>
      <c r="V5" s="6">
        <v>28</v>
      </c>
      <c r="W5" s="5">
        <v>29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>
        <v>1800.2</v>
      </c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16008.3</v>
      </c>
      <c r="D8" s="37">
        <f aca="true" t="shared" si="1" ref="D8:Y8">SUM(D9:D16)</f>
        <v>198.5</v>
      </c>
      <c r="E8" s="37">
        <f t="shared" si="1"/>
        <v>270.9</v>
      </c>
      <c r="F8" s="37">
        <f t="shared" si="1"/>
        <v>321.9</v>
      </c>
      <c r="G8" s="37">
        <f t="shared" si="1"/>
        <v>669.2</v>
      </c>
      <c r="H8" s="37">
        <f t="shared" si="1"/>
        <v>2973.5</v>
      </c>
      <c r="I8" s="37">
        <f>SUM(I9:I16)</f>
        <v>198.10000000000002</v>
      </c>
      <c r="J8" s="37">
        <f t="shared" si="1"/>
        <v>220.9</v>
      </c>
      <c r="K8" s="37">
        <f>SUM(K9:K16)</f>
        <v>543.7</v>
      </c>
      <c r="L8" s="37">
        <f t="shared" si="1"/>
        <v>678.3000000000001</v>
      </c>
      <c r="M8" s="37">
        <f t="shared" si="1"/>
        <v>857.7999999999998</v>
      </c>
      <c r="N8" s="37">
        <f t="shared" si="1"/>
        <v>510.3</v>
      </c>
      <c r="O8" s="37">
        <f t="shared" si="1"/>
        <v>531.2</v>
      </c>
      <c r="P8" s="37">
        <f t="shared" si="1"/>
        <v>823.2000000000002</v>
      </c>
      <c r="Q8" s="37">
        <f t="shared" si="1"/>
        <v>997.7</v>
      </c>
      <c r="R8" s="37">
        <f t="shared" si="1"/>
        <v>798.2</v>
      </c>
      <c r="S8" s="37">
        <f>SUM(S9:S16)</f>
        <v>499.8</v>
      </c>
      <c r="T8" s="37">
        <f>SUM(T9:T16)</f>
        <v>932.7</v>
      </c>
      <c r="U8" s="37">
        <f t="shared" si="1"/>
        <v>1999.8000000000002</v>
      </c>
      <c r="V8" s="37">
        <f t="shared" si="1"/>
        <v>1358.8</v>
      </c>
      <c r="W8" s="37">
        <f t="shared" si="1"/>
        <v>623.8000000000001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10202.6</v>
      </c>
      <c r="D9" s="40">
        <v>98</v>
      </c>
      <c r="E9" s="8">
        <v>137.7</v>
      </c>
      <c r="F9" s="8">
        <v>260.4</v>
      </c>
      <c r="G9" s="8">
        <v>549.4</v>
      </c>
      <c r="H9" s="8">
        <v>2903.3</v>
      </c>
      <c r="I9" s="8">
        <v>63.8</v>
      </c>
      <c r="J9" s="8">
        <v>150.3</v>
      </c>
      <c r="K9" s="8">
        <v>453.8</v>
      </c>
      <c r="L9" s="8">
        <v>375.3</v>
      </c>
      <c r="M9" s="8">
        <v>540.3</v>
      </c>
      <c r="N9" s="8">
        <v>141.8</v>
      </c>
      <c r="O9" s="8">
        <v>312.5</v>
      </c>
      <c r="P9" s="8">
        <v>684.5</v>
      </c>
      <c r="Q9" s="8">
        <v>882.5</v>
      </c>
      <c r="R9" s="43">
        <v>582.9</v>
      </c>
      <c r="S9" s="43">
        <v>243.9</v>
      </c>
      <c r="T9" s="8">
        <v>364.9</v>
      </c>
      <c r="U9" s="43">
        <v>301.3</v>
      </c>
      <c r="V9" s="8">
        <v>778.9</v>
      </c>
      <c r="W9" s="8">
        <v>377.1</v>
      </c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323.49999999999994</v>
      </c>
      <c r="D11" s="40">
        <v>31.6</v>
      </c>
      <c r="E11" s="8">
        <v>2</v>
      </c>
      <c r="F11" s="8">
        <v>0.4</v>
      </c>
      <c r="G11" s="8">
        <v>0.3</v>
      </c>
      <c r="H11" s="8">
        <v>0.6</v>
      </c>
      <c r="I11" s="8">
        <v>28.5</v>
      </c>
      <c r="J11" s="8">
        <v>1.7</v>
      </c>
      <c r="K11" s="8">
        <v>2.7</v>
      </c>
      <c r="L11" s="8">
        <v>-0.9</v>
      </c>
      <c r="M11" s="8">
        <v>1.3</v>
      </c>
      <c r="N11" s="8">
        <v>4.8</v>
      </c>
      <c r="O11" s="8">
        <v>3.1</v>
      </c>
      <c r="P11" s="8">
        <v>3.3</v>
      </c>
      <c r="Q11" s="8">
        <v>0.8</v>
      </c>
      <c r="R11" s="43">
        <v>2.7</v>
      </c>
      <c r="S11" s="43">
        <v>78.6</v>
      </c>
      <c r="T11" s="8">
        <v>49.8</v>
      </c>
      <c r="U11" s="43">
        <v>74.2</v>
      </c>
      <c r="V11" s="8">
        <v>2.9</v>
      </c>
      <c r="W11" s="8">
        <v>35.1</v>
      </c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1012.5</v>
      </c>
      <c r="D12" s="40">
        <v>1.3</v>
      </c>
      <c r="E12" s="8">
        <v>6.2</v>
      </c>
      <c r="F12" s="8">
        <v>0.9</v>
      </c>
      <c r="G12" s="8"/>
      <c r="H12" s="8">
        <v>0.5</v>
      </c>
      <c r="I12" s="8">
        <v>1.3</v>
      </c>
      <c r="J12" s="8"/>
      <c r="K12" s="8"/>
      <c r="L12" s="8">
        <v>6.9</v>
      </c>
      <c r="M12" s="8">
        <v>0.1</v>
      </c>
      <c r="N12" s="8">
        <v>14.1</v>
      </c>
      <c r="O12" s="8"/>
      <c r="P12" s="8">
        <v>0.2</v>
      </c>
      <c r="Q12" s="8">
        <v>58.6</v>
      </c>
      <c r="R12" s="43"/>
      <c r="S12" s="43">
        <v>20</v>
      </c>
      <c r="T12" s="8">
        <v>14.1</v>
      </c>
      <c r="U12" s="43">
        <v>740.3</v>
      </c>
      <c r="V12" s="8">
        <v>124.4</v>
      </c>
      <c r="W12" s="8">
        <v>23.6</v>
      </c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2525.6</v>
      </c>
      <c r="D13" s="40">
        <v>24.6</v>
      </c>
      <c r="E13" s="8">
        <v>35</v>
      </c>
      <c r="F13" s="8">
        <v>11.3</v>
      </c>
      <c r="G13" s="8">
        <v>10.2</v>
      </c>
      <c r="H13" s="8">
        <v>26.1</v>
      </c>
      <c r="I13" s="8">
        <v>12.3</v>
      </c>
      <c r="J13" s="8">
        <v>12.6</v>
      </c>
      <c r="K13" s="8">
        <v>20.8</v>
      </c>
      <c r="L13" s="8">
        <v>46.3</v>
      </c>
      <c r="M13" s="8">
        <v>169.4</v>
      </c>
      <c r="N13" s="8">
        <v>35.4</v>
      </c>
      <c r="O13" s="8">
        <v>59</v>
      </c>
      <c r="P13" s="8">
        <v>60.2</v>
      </c>
      <c r="Q13" s="8">
        <v>16.5</v>
      </c>
      <c r="R13" s="43">
        <v>133</v>
      </c>
      <c r="S13" s="43">
        <v>112</v>
      </c>
      <c r="T13" s="8">
        <v>444.9</v>
      </c>
      <c r="U13" s="43">
        <v>795.1</v>
      </c>
      <c r="V13" s="8">
        <v>366.8</v>
      </c>
      <c r="W13" s="8">
        <v>134.1</v>
      </c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1345</v>
      </c>
      <c r="D14" s="40">
        <v>7.6</v>
      </c>
      <c r="E14" s="8">
        <v>72.6</v>
      </c>
      <c r="F14" s="8">
        <v>27.5</v>
      </c>
      <c r="G14" s="8">
        <v>89.1</v>
      </c>
      <c r="H14" s="8">
        <v>21.5</v>
      </c>
      <c r="I14" s="8">
        <v>60.1</v>
      </c>
      <c r="J14" s="8">
        <v>39.6</v>
      </c>
      <c r="K14" s="8">
        <v>36.5</v>
      </c>
      <c r="L14" s="8">
        <v>143.9</v>
      </c>
      <c r="M14" s="8">
        <v>121.1</v>
      </c>
      <c r="N14" s="8">
        <v>286.9</v>
      </c>
      <c r="O14" s="8">
        <v>133.7</v>
      </c>
      <c r="P14" s="8">
        <v>43.7</v>
      </c>
      <c r="Q14" s="8">
        <v>17</v>
      </c>
      <c r="R14" s="43">
        <v>67.6</v>
      </c>
      <c r="S14" s="43">
        <v>25.5</v>
      </c>
      <c r="T14" s="8">
        <v>13.3</v>
      </c>
      <c r="U14" s="43">
        <v>60.5</v>
      </c>
      <c r="V14" s="8">
        <v>46.4</v>
      </c>
      <c r="W14" s="8">
        <v>30.9</v>
      </c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235.59999999999994</v>
      </c>
      <c r="D15" s="40">
        <v>14.8</v>
      </c>
      <c r="E15" s="8">
        <v>6.9</v>
      </c>
      <c r="F15" s="8">
        <v>18.3</v>
      </c>
      <c r="G15" s="8">
        <v>16</v>
      </c>
      <c r="H15" s="8">
        <v>7</v>
      </c>
      <c r="I15" s="8">
        <v>21.3</v>
      </c>
      <c r="J15" s="8">
        <v>10.3</v>
      </c>
      <c r="K15" s="8">
        <v>13.2</v>
      </c>
      <c r="L15" s="8">
        <v>6.6</v>
      </c>
      <c r="M15" s="8">
        <v>16.8</v>
      </c>
      <c r="N15" s="8">
        <v>6.1</v>
      </c>
      <c r="O15" s="8">
        <v>9.4</v>
      </c>
      <c r="P15" s="8">
        <v>16.1</v>
      </c>
      <c r="Q15" s="8">
        <v>9.7</v>
      </c>
      <c r="R15" s="43">
        <v>9.1</v>
      </c>
      <c r="S15" s="43">
        <v>15.1</v>
      </c>
      <c r="T15" s="8">
        <v>5.2</v>
      </c>
      <c r="U15" s="43">
        <v>14.7</v>
      </c>
      <c r="V15" s="8">
        <v>10.8</v>
      </c>
      <c r="W15" s="8">
        <v>8.2</v>
      </c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363.5</v>
      </c>
      <c r="D16" s="40">
        <v>20.6</v>
      </c>
      <c r="E16" s="8">
        <v>10.5</v>
      </c>
      <c r="F16" s="8">
        <v>3.1</v>
      </c>
      <c r="G16" s="8">
        <v>4.2</v>
      </c>
      <c r="H16" s="8">
        <v>14.5</v>
      </c>
      <c r="I16" s="8">
        <v>10.8</v>
      </c>
      <c r="J16" s="8">
        <v>6.4</v>
      </c>
      <c r="K16" s="8">
        <v>16.7</v>
      </c>
      <c r="L16" s="8">
        <v>100.2</v>
      </c>
      <c r="M16" s="8">
        <v>8.8</v>
      </c>
      <c r="N16" s="8">
        <v>21.2</v>
      </c>
      <c r="O16" s="8">
        <v>13.5</v>
      </c>
      <c r="P16" s="8">
        <v>15.2</v>
      </c>
      <c r="Q16" s="8">
        <v>12.6</v>
      </c>
      <c r="R16" s="43">
        <v>2.9</v>
      </c>
      <c r="S16" s="43">
        <v>4.7</v>
      </c>
      <c r="T16" s="8">
        <v>40.5</v>
      </c>
      <c r="U16" s="43">
        <v>13.7</v>
      </c>
      <c r="V16" s="8">
        <v>28.6</v>
      </c>
      <c r="W16" s="8">
        <v>14.8</v>
      </c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19608.600000000002</v>
      </c>
      <c r="D17" s="22">
        <f>SUM(D6:D8)</f>
        <v>1998.6</v>
      </c>
      <c r="E17" s="22">
        <f aca="true" t="shared" si="2" ref="E17:Y17">SUM(E6:E8)</f>
        <v>270.9</v>
      </c>
      <c r="F17" s="22">
        <f t="shared" si="2"/>
        <v>321.9</v>
      </c>
      <c r="G17" s="22">
        <f t="shared" si="2"/>
        <v>669.2</v>
      </c>
      <c r="H17" s="22">
        <f t="shared" si="2"/>
        <v>2973.5</v>
      </c>
      <c r="I17" s="22">
        <f t="shared" si="2"/>
        <v>1998.3000000000002</v>
      </c>
      <c r="J17" s="22">
        <f t="shared" si="2"/>
        <v>220.9</v>
      </c>
      <c r="K17" s="22">
        <f t="shared" si="2"/>
        <v>543.7</v>
      </c>
      <c r="L17" s="22">
        <f t="shared" si="2"/>
        <v>678.3000000000001</v>
      </c>
      <c r="M17" s="22">
        <f>SUM(M6:M8)</f>
        <v>857.7999999999998</v>
      </c>
      <c r="N17" s="22">
        <f t="shared" si="2"/>
        <v>510.3</v>
      </c>
      <c r="O17" s="22">
        <f t="shared" si="2"/>
        <v>531.2</v>
      </c>
      <c r="P17" s="22">
        <f t="shared" si="2"/>
        <v>823.2000000000002</v>
      </c>
      <c r="Q17" s="22">
        <f t="shared" si="2"/>
        <v>997.7</v>
      </c>
      <c r="R17" s="22">
        <f t="shared" si="2"/>
        <v>798.2</v>
      </c>
      <c r="S17" s="22">
        <f t="shared" si="2"/>
        <v>499.8</v>
      </c>
      <c r="T17" s="22">
        <f>SUM(T6:T8)</f>
        <v>932.7</v>
      </c>
      <c r="U17" s="22">
        <f t="shared" si="2"/>
        <v>1999.8000000000002</v>
      </c>
      <c r="V17" s="22">
        <f t="shared" si="2"/>
        <v>1358.8</v>
      </c>
      <c r="W17" s="22">
        <f t="shared" si="2"/>
        <v>623.8000000000001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33491.763999999996</v>
      </c>
      <c r="D18" s="24">
        <f aca="true" t="shared" si="3" ref="D18:AA18">D19+D23+D29+D32+D33+D34+D35+D41+D45+D49+D52+D57+D63+D70+D74+D75+D76+D77+D31+D66+D73</f>
        <v>212.737</v>
      </c>
      <c r="E18" s="24">
        <f t="shared" si="3"/>
        <v>1387.373</v>
      </c>
      <c r="F18" s="24">
        <f t="shared" si="3"/>
        <v>1212.47</v>
      </c>
      <c r="G18" s="24">
        <f t="shared" si="3"/>
        <v>643.5459999999998</v>
      </c>
      <c r="H18" s="24">
        <f t="shared" si="3"/>
        <v>973.2180000000001</v>
      </c>
      <c r="I18" s="24">
        <f t="shared" si="3"/>
        <v>119.566</v>
      </c>
      <c r="J18" s="24">
        <f t="shared" si="3"/>
        <v>6940.185999999999</v>
      </c>
      <c r="K18" s="24">
        <f t="shared" si="3"/>
        <v>1203.1060000000002</v>
      </c>
      <c r="L18" s="24">
        <f t="shared" si="3"/>
        <v>202.494</v>
      </c>
      <c r="M18" s="24">
        <f t="shared" si="3"/>
        <v>364.62500000000006</v>
      </c>
      <c r="N18" s="24">
        <f t="shared" si="3"/>
        <v>170.436</v>
      </c>
      <c r="O18" s="24">
        <f t="shared" si="3"/>
        <v>1756.493</v>
      </c>
      <c r="P18" s="24">
        <f t="shared" si="3"/>
        <v>54.658</v>
      </c>
      <c r="Q18" s="24">
        <f t="shared" si="3"/>
        <v>2213.4449999999997</v>
      </c>
      <c r="R18" s="24">
        <f t="shared" si="3"/>
        <v>1671.7180000000003</v>
      </c>
      <c r="S18" s="24">
        <f t="shared" si="3"/>
        <v>3764.59</v>
      </c>
      <c r="T18" s="24">
        <f t="shared" si="3"/>
        <v>2130.1800000000003</v>
      </c>
      <c r="U18" s="24">
        <f t="shared" si="3"/>
        <v>329.149</v>
      </c>
      <c r="V18" s="24">
        <f t="shared" si="3"/>
        <v>113.692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25463.682</v>
      </c>
      <c r="AB18" s="53">
        <f aca="true" t="shared" si="4" ref="AB18:AB81">AA18-C18</f>
        <v>-8028.081999999995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6050.891</v>
      </c>
      <c r="D19" s="18">
        <f t="shared" si="5"/>
        <v>0.18</v>
      </c>
      <c r="E19" s="18">
        <f t="shared" si="5"/>
        <v>19.391</v>
      </c>
      <c r="F19" s="18">
        <f t="shared" si="5"/>
        <v>91.284</v>
      </c>
      <c r="G19" s="18">
        <f t="shared" si="5"/>
        <v>57.277</v>
      </c>
      <c r="H19" s="18">
        <f t="shared" si="5"/>
        <v>69.03</v>
      </c>
      <c r="I19" s="18">
        <f t="shared" si="5"/>
        <v>73.483</v>
      </c>
      <c r="J19" s="18">
        <f t="shared" si="5"/>
        <v>2284.934</v>
      </c>
      <c r="K19" s="18">
        <f t="shared" si="5"/>
        <v>124</v>
      </c>
      <c r="L19" s="18">
        <f t="shared" si="5"/>
        <v>27.568</v>
      </c>
      <c r="M19" s="18">
        <f t="shared" si="5"/>
        <v>1.157</v>
      </c>
      <c r="N19" s="18">
        <f t="shared" si="5"/>
        <v>13.119</v>
      </c>
      <c r="O19" s="18">
        <f t="shared" si="5"/>
        <v>16.016</v>
      </c>
      <c r="P19" s="18">
        <f t="shared" si="5"/>
        <v>6.953</v>
      </c>
      <c r="Q19" s="18">
        <f t="shared" si="5"/>
        <v>50.066</v>
      </c>
      <c r="R19" s="18">
        <f t="shared" si="5"/>
        <v>22.038</v>
      </c>
      <c r="S19" s="18">
        <f t="shared" si="5"/>
        <v>1503.168</v>
      </c>
      <c r="T19" s="18">
        <f>SUM(T20:T22)</f>
        <v>652.03</v>
      </c>
      <c r="U19" s="18">
        <f t="shared" si="5"/>
        <v>-39.859</v>
      </c>
      <c r="V19" s="18">
        <f t="shared" si="5"/>
        <v>-0.138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4971.697</v>
      </c>
      <c r="AB19" s="53">
        <f t="shared" si="4"/>
        <v>-1079.1939999999995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5075.692+2.3+5.8</f>
        <v>5083.792</v>
      </c>
      <c r="D20" s="7"/>
      <c r="E20" s="7">
        <v>12.169</v>
      </c>
      <c r="F20" s="7"/>
      <c r="G20" s="7">
        <v>20.411</v>
      </c>
      <c r="H20" s="7"/>
      <c r="I20" s="7">
        <v>73.483</v>
      </c>
      <c r="J20" s="8">
        <v>2234.755</v>
      </c>
      <c r="K20" s="7">
        <v>122.051</v>
      </c>
      <c r="L20" s="7">
        <v>0.861</v>
      </c>
      <c r="M20" s="7"/>
      <c r="N20" s="7"/>
      <c r="O20" s="7"/>
      <c r="P20" s="7"/>
      <c r="Q20" s="7">
        <v>49.217</v>
      </c>
      <c r="R20" s="7">
        <v>17.023</v>
      </c>
      <c r="S20" s="7">
        <v>1374.084</v>
      </c>
      <c r="T20" s="7">
        <v>647.771</v>
      </c>
      <c r="U20" s="7"/>
      <c r="V20" s="8"/>
      <c r="W20" s="8"/>
      <c r="X20" s="8"/>
      <c r="Y20" s="7"/>
      <c r="Z20" s="7"/>
      <c r="AA20" s="7">
        <f>SUM(D20:Z20)</f>
        <v>4551.825</v>
      </c>
      <c r="AB20" s="53">
        <f t="shared" si="4"/>
        <v>-531.9670000000006</v>
      </c>
      <c r="AD20" s="56" t="s">
        <v>48</v>
      </c>
      <c r="AE20" s="79">
        <f>AA19</f>
        <v>4971.697</v>
      </c>
    </row>
    <row r="21" spans="2:31" ht="15.75">
      <c r="B21" s="3" t="s">
        <v>1</v>
      </c>
      <c r="C21" s="23">
        <v>497.199</v>
      </c>
      <c r="D21" s="7"/>
      <c r="E21" s="7">
        <v>0.045</v>
      </c>
      <c r="F21" s="7">
        <v>35.834</v>
      </c>
      <c r="G21" s="7">
        <v>30.386</v>
      </c>
      <c r="H21" s="7">
        <v>63.042</v>
      </c>
      <c r="I21" s="7"/>
      <c r="J21" s="8"/>
      <c r="K21" s="7"/>
      <c r="L21" s="7"/>
      <c r="M21" s="7"/>
      <c r="N21" s="7">
        <v>0.302</v>
      </c>
      <c r="O21" s="7">
        <v>16.016</v>
      </c>
      <c r="P21" s="7">
        <v>0.017</v>
      </c>
      <c r="Q21" s="7">
        <v>0.045</v>
      </c>
      <c r="R21" s="7">
        <v>2.645</v>
      </c>
      <c r="S21" s="7">
        <v>0.725</v>
      </c>
      <c r="T21" s="7">
        <v>1.178</v>
      </c>
      <c r="U21" s="7">
        <v>-38.543</v>
      </c>
      <c r="V21" s="8">
        <v>-0.138</v>
      </c>
      <c r="W21" s="8"/>
      <c r="X21" s="8"/>
      <c r="Y21" s="7"/>
      <c r="Z21" s="7"/>
      <c r="AA21" s="7">
        <f>SUM(D21:Z21)</f>
        <v>111.55399999999997</v>
      </c>
      <c r="AB21" s="53">
        <f t="shared" si="4"/>
        <v>-385.64500000000004</v>
      </c>
      <c r="AD21" s="56" t="s">
        <v>15</v>
      </c>
      <c r="AE21" s="79">
        <f>AA23</f>
        <v>11005.14</v>
      </c>
    </row>
    <row r="22" spans="2:31" ht="15.75">
      <c r="B22" s="3" t="s">
        <v>5</v>
      </c>
      <c r="C22" s="23">
        <f>472.2-2.3</f>
        <v>469.9</v>
      </c>
      <c r="D22" s="7">
        <v>0.18</v>
      </c>
      <c r="E22" s="7">
        <v>7.177</v>
      </c>
      <c r="F22" s="7">
        <v>55.45</v>
      </c>
      <c r="G22" s="7">
        <v>6.48</v>
      </c>
      <c r="H22" s="7">
        <v>5.988</v>
      </c>
      <c r="I22" s="7"/>
      <c r="J22" s="7">
        <v>50.179</v>
      </c>
      <c r="K22" s="7">
        <v>1.949</v>
      </c>
      <c r="L22" s="7">
        <v>26.707</v>
      </c>
      <c r="M22" s="7">
        <v>1.157</v>
      </c>
      <c r="N22" s="7">
        <v>12.817</v>
      </c>
      <c r="O22" s="7"/>
      <c r="P22" s="7">
        <v>6.936</v>
      </c>
      <c r="Q22" s="7">
        <v>0.804</v>
      </c>
      <c r="R22" s="7">
        <v>2.37</v>
      </c>
      <c r="S22" s="7">
        <v>128.359</v>
      </c>
      <c r="T22" s="7">
        <v>3.081</v>
      </c>
      <c r="U22" s="7">
        <v>-1.316</v>
      </c>
      <c r="V22" s="7"/>
      <c r="W22" s="7"/>
      <c r="X22" s="7"/>
      <c r="Y22" s="7"/>
      <c r="Z22" s="7"/>
      <c r="AA22" s="7">
        <f>SUM(D22:Z22)</f>
        <v>308.3180000000001</v>
      </c>
      <c r="AB22" s="53">
        <f t="shared" si="4"/>
        <v>-161.58199999999988</v>
      </c>
      <c r="AD22" s="56" t="s">
        <v>52</v>
      </c>
      <c r="AE22" s="79">
        <f>$AA$29+$AA$31</f>
        <v>171.64100000000002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15597.718999999997</v>
      </c>
      <c r="D23" s="18">
        <f t="shared" si="6"/>
        <v>0</v>
      </c>
      <c r="E23" s="18">
        <f t="shared" si="6"/>
        <v>27.737</v>
      </c>
      <c r="F23" s="18">
        <f t="shared" si="6"/>
        <v>138.36599999999999</v>
      </c>
      <c r="G23" s="18">
        <f t="shared" si="6"/>
        <v>433.91299999999995</v>
      </c>
      <c r="H23" s="18">
        <f t="shared" si="6"/>
        <v>708.629</v>
      </c>
      <c r="I23" s="18">
        <f t="shared" si="6"/>
        <v>4.083</v>
      </c>
      <c r="J23" s="18">
        <f t="shared" si="6"/>
        <v>3203.316</v>
      </c>
      <c r="K23" s="18">
        <f t="shared" si="6"/>
        <v>937.9650000000001</v>
      </c>
      <c r="L23" s="18">
        <f t="shared" si="6"/>
        <v>0</v>
      </c>
      <c r="M23" s="18">
        <f t="shared" si="6"/>
        <v>334.57000000000005</v>
      </c>
      <c r="N23" s="18">
        <f t="shared" si="6"/>
        <v>60.550000000000004</v>
      </c>
      <c r="O23" s="18">
        <f t="shared" si="6"/>
        <v>4.769</v>
      </c>
      <c r="P23" s="18">
        <f t="shared" si="6"/>
        <v>0</v>
      </c>
      <c r="Q23" s="18">
        <f t="shared" si="6"/>
        <v>1849.03</v>
      </c>
      <c r="R23" s="18">
        <f t="shared" si="6"/>
        <v>1217.842</v>
      </c>
      <c r="S23" s="18">
        <f t="shared" si="6"/>
        <v>1963.481</v>
      </c>
      <c r="T23" s="18">
        <f>SUM(T24:T28)</f>
        <v>105.785</v>
      </c>
      <c r="U23" s="18">
        <f>SUM(U24:U28)</f>
        <v>18.211</v>
      </c>
      <c r="V23" s="18">
        <f t="shared" si="6"/>
        <v>-3.107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11005.14</v>
      </c>
      <c r="AB23" s="53">
        <f t="shared" si="4"/>
        <v>-4592.578999999998</v>
      </c>
      <c r="AD23" s="56" t="s">
        <v>16</v>
      </c>
      <c r="AE23" s="79">
        <f>$AA$32+$AA$33+$AA$35+$AA$41+$AA$45+$AA$34</f>
        <v>1035.0420000000001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10252.517</v>
      </c>
      <c r="D24" s="7"/>
      <c r="E24" s="7"/>
      <c r="F24" s="7">
        <v>16.259</v>
      </c>
      <c r="G24" s="7">
        <v>84.705</v>
      </c>
      <c r="H24" s="7">
        <f>273.672</f>
        <v>273.672</v>
      </c>
      <c r="I24" s="7">
        <v>4.083</v>
      </c>
      <c r="J24" s="8">
        <f>1262.571+13.45+0.717+819.56</f>
        <v>2096.298</v>
      </c>
      <c r="K24" s="7">
        <f>170.502+702.032</f>
        <v>872.5340000000001</v>
      </c>
      <c r="L24" s="7"/>
      <c r="M24" s="7">
        <v>15.812</v>
      </c>
      <c r="N24" s="7"/>
      <c r="O24" s="7"/>
      <c r="P24" s="7"/>
      <c r="Q24" s="7">
        <f>933.997+19.783+690.944</f>
        <v>1644.724</v>
      </c>
      <c r="R24" s="25">
        <f>586.301+529.725+5.179</f>
        <v>1121.2050000000002</v>
      </c>
      <c r="S24" s="7">
        <f>907.368+881.186+9.96</f>
        <v>1798.5140000000001</v>
      </c>
      <c r="T24" s="7">
        <f>100+2.96</f>
        <v>102.96</v>
      </c>
      <c r="U24" s="7"/>
      <c r="V24" s="8"/>
      <c r="W24" s="8"/>
      <c r="X24" s="8"/>
      <c r="Y24" s="7"/>
      <c r="Z24" s="7"/>
      <c r="AA24" s="7">
        <f>SUM(D24:Z24)</f>
        <v>8030.766</v>
      </c>
      <c r="AB24" s="53">
        <f t="shared" si="4"/>
        <v>-2221.751</v>
      </c>
      <c r="AD24" s="56" t="s">
        <v>17</v>
      </c>
      <c r="AE24" s="79">
        <f>$AA$63+$AA$66</f>
        <v>2200.289</v>
      </c>
    </row>
    <row r="25" spans="2:31" ht="15.75">
      <c r="B25" s="3" t="s">
        <v>2</v>
      </c>
      <c r="C25" s="23">
        <v>11.701</v>
      </c>
      <c r="D25" s="7"/>
      <c r="E25" s="7"/>
      <c r="F25" s="7"/>
      <c r="G25" s="7">
        <v>1.5</v>
      </c>
      <c r="H25" s="7"/>
      <c r="I25" s="7"/>
      <c r="J25" s="8"/>
      <c r="K25" s="7"/>
      <c r="L25" s="7"/>
      <c r="M25" s="7">
        <v>0.999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2.499</v>
      </c>
      <c r="AB25" s="53">
        <f t="shared" si="4"/>
        <v>-9.202</v>
      </c>
      <c r="AD25" s="56" t="s">
        <v>18</v>
      </c>
      <c r="AE25" s="79">
        <f>$AA$52</f>
        <v>577.138</v>
      </c>
    </row>
    <row r="26" spans="2:31" ht="15.75">
      <c r="B26" s="3" t="s">
        <v>0</v>
      </c>
      <c r="C26" s="23">
        <v>759.828</v>
      </c>
      <c r="D26" s="7"/>
      <c r="E26" s="7">
        <v>27.076</v>
      </c>
      <c r="F26" s="7">
        <v>8.699</v>
      </c>
      <c r="G26" s="7">
        <v>62.198</v>
      </c>
      <c r="H26" s="7">
        <v>6.136</v>
      </c>
      <c r="I26" s="7"/>
      <c r="J26" s="8">
        <v>42.39</v>
      </c>
      <c r="K26" s="7">
        <v>52.909</v>
      </c>
      <c r="L26" s="7"/>
      <c r="M26" s="7">
        <v>147.311</v>
      </c>
      <c r="N26" s="7">
        <v>34.944</v>
      </c>
      <c r="O26" s="7"/>
      <c r="P26" s="7"/>
      <c r="Q26" s="7">
        <v>86.818</v>
      </c>
      <c r="R26" s="25">
        <v>67.215</v>
      </c>
      <c r="S26" s="7">
        <v>34.229</v>
      </c>
      <c r="T26" s="7"/>
      <c r="U26" s="7"/>
      <c r="V26" s="8"/>
      <c r="W26" s="8"/>
      <c r="X26" s="8"/>
      <c r="Y26" s="7"/>
      <c r="Z26" s="7"/>
      <c r="AA26" s="7">
        <f>SUM(D26:Z26)</f>
        <v>569.9250000000001</v>
      </c>
      <c r="AB26" s="53">
        <f t="shared" si="4"/>
        <v>-189.9029999999999</v>
      </c>
      <c r="AD26" s="56" t="s">
        <v>19</v>
      </c>
      <c r="AE26" s="79">
        <f>$AA$57</f>
        <v>405.13900000000007</v>
      </c>
    </row>
    <row r="27" spans="2:31" ht="15.75">
      <c r="B27" s="3" t="s">
        <v>1</v>
      </c>
      <c r="C27" s="23">
        <v>3566.139</v>
      </c>
      <c r="D27" s="7"/>
      <c r="E27" s="7">
        <v>0.188</v>
      </c>
      <c r="F27" s="7">
        <v>71.075</v>
      </c>
      <c r="G27" s="7">
        <v>259.002</v>
      </c>
      <c r="H27" s="7">
        <v>307.981</v>
      </c>
      <c r="I27" s="7"/>
      <c r="J27" s="8">
        <v>1033.384</v>
      </c>
      <c r="K27" s="7">
        <v>9.302</v>
      </c>
      <c r="L27" s="7"/>
      <c r="M27" s="7">
        <v>27.339</v>
      </c>
      <c r="N27" s="7">
        <v>12.477</v>
      </c>
      <c r="O27" s="7">
        <v>4.759</v>
      </c>
      <c r="P27" s="7"/>
      <c r="Q27" s="7">
        <v>108.709</v>
      </c>
      <c r="R27" s="25">
        <v>23.39</v>
      </c>
      <c r="S27" s="7">
        <v>117.686</v>
      </c>
      <c r="T27" s="7">
        <v>-0.023</v>
      </c>
      <c r="U27" s="7">
        <v>13.043</v>
      </c>
      <c r="V27" s="8">
        <v>-3.107</v>
      </c>
      <c r="W27" s="8"/>
      <c r="X27" s="8"/>
      <c r="Y27" s="7"/>
      <c r="Z27" s="7"/>
      <c r="AA27" s="7">
        <f>SUM(D27:Z27)</f>
        <v>1985.2050000000002</v>
      </c>
      <c r="AB27" s="53">
        <f t="shared" si="4"/>
        <v>-1580.934</v>
      </c>
      <c r="AD27" s="56" t="s">
        <v>20</v>
      </c>
      <c r="AE27" s="79">
        <f>$AA$49+$AA$70+$AA$74+$AA$75+$AA$77+$AA$76+$AA$72</f>
        <v>5097.5960000000005</v>
      </c>
    </row>
    <row r="28" spans="2:31" ht="15.75">
      <c r="B28" s="3" t="s">
        <v>5</v>
      </c>
      <c r="C28" s="23">
        <v>1007.534</v>
      </c>
      <c r="D28" s="7"/>
      <c r="E28" s="7">
        <v>0.473</v>
      </c>
      <c r="F28" s="7">
        <v>42.333</v>
      </c>
      <c r="G28" s="7">
        <v>26.508</v>
      </c>
      <c r="H28" s="7">
        <v>120.84</v>
      </c>
      <c r="I28" s="7"/>
      <c r="J28" s="7">
        <v>31.244</v>
      </c>
      <c r="K28" s="7">
        <v>3.22</v>
      </c>
      <c r="L28" s="7"/>
      <c r="M28" s="7">
        <v>143.109</v>
      </c>
      <c r="N28" s="7">
        <v>13.129</v>
      </c>
      <c r="O28" s="7">
        <v>0.01</v>
      </c>
      <c r="P28" s="7"/>
      <c r="Q28" s="7">
        <v>8.779</v>
      </c>
      <c r="R28" s="7">
        <v>6.032</v>
      </c>
      <c r="S28" s="7">
        <v>13.052</v>
      </c>
      <c r="T28" s="7">
        <v>2.848</v>
      </c>
      <c r="U28" s="7">
        <v>5.168</v>
      </c>
      <c r="V28" s="7"/>
      <c r="W28" s="7"/>
      <c r="X28" s="7"/>
      <c r="Y28" s="7"/>
      <c r="Z28" s="7"/>
      <c r="AA28" s="7">
        <f>SUM(D28:Z28)</f>
        <v>416.745</v>
      </c>
      <c r="AB28" s="53">
        <f t="shared" si="4"/>
        <v>-590.789</v>
      </c>
      <c r="AE28" s="80"/>
    </row>
    <row r="29" spans="2:31" ht="29.25">
      <c r="B29" s="13" t="s">
        <v>57</v>
      </c>
      <c r="C29" s="18">
        <f>C30</f>
        <v>1233.751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12.061</v>
      </c>
      <c r="H29" s="18">
        <f t="shared" si="7"/>
        <v>29.653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17.932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87.094</v>
      </c>
      <c r="R29" s="18">
        <f t="shared" si="7"/>
        <v>0</v>
      </c>
      <c r="S29" s="18">
        <f t="shared" si="7"/>
        <v>0</v>
      </c>
      <c r="T29" s="18">
        <f t="shared" si="7"/>
        <v>24.901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171.64100000000002</v>
      </c>
      <c r="AB29" s="53">
        <f t="shared" si="4"/>
        <v>-1062.11</v>
      </c>
      <c r="AE29" s="80"/>
    </row>
    <row r="30" spans="2:31" ht="15.75">
      <c r="B30" s="55" t="s">
        <v>10</v>
      </c>
      <c r="C30" s="27">
        <v>1233.751</v>
      </c>
      <c r="D30" s="8"/>
      <c r="E30" s="8"/>
      <c r="F30" s="8"/>
      <c r="G30" s="8">
        <v>12.061</v>
      </c>
      <c r="H30" s="8">
        <v>29.653</v>
      </c>
      <c r="I30" s="8"/>
      <c r="J30" s="8"/>
      <c r="K30" s="8"/>
      <c r="L30" s="8"/>
      <c r="M30" s="8">
        <v>17.932</v>
      </c>
      <c r="N30" s="8"/>
      <c r="O30" s="8"/>
      <c r="P30" s="8"/>
      <c r="Q30" s="8">
        <v>87.094</v>
      </c>
      <c r="R30" s="8"/>
      <c r="S30" s="8"/>
      <c r="T30" s="8">
        <v>24.901</v>
      </c>
      <c r="U30" s="8"/>
      <c r="V30" s="8"/>
      <c r="W30" s="8"/>
      <c r="X30" s="8"/>
      <c r="Y30" s="27"/>
      <c r="Z30" s="27"/>
      <c r="AA30" s="7">
        <f>SUM(D30:Z30)</f>
        <v>171.64100000000002</v>
      </c>
      <c r="AB30" s="53">
        <f t="shared" si="4"/>
        <v>-1062.11</v>
      </c>
      <c r="AE30" s="80"/>
    </row>
    <row r="31" spans="2:31" ht="43.5">
      <c r="B31" s="13" t="s">
        <v>61</v>
      </c>
      <c r="C31" s="18">
        <v>49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-49</v>
      </c>
      <c r="AE31" s="80"/>
    </row>
    <row r="32" spans="1:40" s="10" customFormat="1" ht="29.25">
      <c r="A32" s="10" t="s">
        <v>32</v>
      </c>
      <c r="B32" s="13" t="s">
        <v>62</v>
      </c>
      <c r="C32" s="18">
        <v>406.093</v>
      </c>
      <c r="D32" s="18"/>
      <c r="E32" s="18"/>
      <c r="F32" s="18">
        <v>7.853</v>
      </c>
      <c r="G32" s="18"/>
      <c r="H32" s="18"/>
      <c r="I32" s="18"/>
      <c r="J32" s="18"/>
      <c r="K32" s="18"/>
      <c r="L32" s="18">
        <v>2.265</v>
      </c>
      <c r="M32" s="18"/>
      <c r="N32" s="18"/>
      <c r="O32" s="18"/>
      <c r="P32" s="18">
        <v>8.777</v>
      </c>
      <c r="Q32" s="18"/>
      <c r="R32" s="18">
        <v>102.9</v>
      </c>
      <c r="S32" s="18">
        <v>12.94</v>
      </c>
      <c r="T32" s="18"/>
      <c r="U32" s="60"/>
      <c r="V32" s="60">
        <v>-0.276</v>
      </c>
      <c r="W32" s="60"/>
      <c r="X32" s="18"/>
      <c r="Y32" s="18"/>
      <c r="Z32" s="18"/>
      <c r="AA32" s="18">
        <f>SUM(D32:Z32)</f>
        <v>134.459</v>
      </c>
      <c r="AB32" s="53">
        <f t="shared" si="4"/>
        <v>-271.634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319.488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>
        <v>114.985</v>
      </c>
      <c r="U33" s="18"/>
      <c r="V33" s="18"/>
      <c r="W33" s="18"/>
      <c r="X33" s="18"/>
      <c r="Y33" s="18"/>
      <c r="Z33" s="18"/>
      <c r="AA33" s="18">
        <f>SUM(D33:Z33)</f>
        <v>114.985</v>
      </c>
      <c r="AB33" s="53">
        <f t="shared" si="4"/>
        <v>-204.503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-50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632.7529999999999</v>
      </c>
      <c r="D35" s="18">
        <f>SUM(D36:D40)</f>
        <v>0</v>
      </c>
      <c r="E35" s="18">
        <f>SUM(E36:E40)</f>
        <v>0</v>
      </c>
      <c r="F35" s="18">
        <f>SUM(F36:F40)</f>
        <v>34.318999999999996</v>
      </c>
      <c r="G35" s="18">
        <f aca="true" t="shared" si="8" ref="G35:S35">SUM(G36:G40)</f>
        <v>24.846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164.836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6.82</v>
      </c>
      <c r="R35" s="18">
        <f t="shared" si="8"/>
        <v>0</v>
      </c>
      <c r="S35" s="18">
        <f t="shared" si="8"/>
        <v>0</v>
      </c>
      <c r="T35" s="18">
        <f>SUM(T36:T40)</f>
        <v>342.63500000000005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573.456</v>
      </c>
      <c r="AB35" s="53">
        <f t="shared" si="4"/>
        <v>-59.29699999999991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540.851</v>
      </c>
      <c r="D36" s="7"/>
      <c r="E36" s="7"/>
      <c r="F36" s="7">
        <v>12.56</v>
      </c>
      <c r="G36" s="7">
        <v>4.448</v>
      </c>
      <c r="H36" s="7"/>
      <c r="I36" s="7"/>
      <c r="J36" s="8"/>
      <c r="K36" s="7"/>
      <c r="L36" s="7">
        <v>164.226</v>
      </c>
      <c r="M36" s="7"/>
      <c r="N36" s="7"/>
      <c r="O36" s="7"/>
      <c r="P36" s="25"/>
      <c r="Q36" s="7"/>
      <c r="R36" s="25"/>
      <c r="S36" s="7"/>
      <c r="T36" s="7">
        <v>337.867</v>
      </c>
      <c r="U36" s="7"/>
      <c r="V36" s="8"/>
      <c r="W36" s="8"/>
      <c r="X36" s="7"/>
      <c r="Y36" s="7"/>
      <c r="Z36" s="7"/>
      <c r="AA36" s="7">
        <f>SUM(D36:Z36)</f>
        <v>519.101</v>
      </c>
      <c r="AB36" s="53">
        <f t="shared" si="4"/>
        <v>-21.75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1.804</v>
      </c>
      <c r="D37" s="7"/>
      <c r="E37" s="7"/>
      <c r="F37" s="7">
        <v>1.793</v>
      </c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1.793</v>
      </c>
      <c r="AB37" s="53">
        <f t="shared" si="4"/>
        <v>-0.01100000000000012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73.181</v>
      </c>
      <c r="D39" s="7"/>
      <c r="E39" s="7"/>
      <c r="F39" s="7">
        <v>17.773</v>
      </c>
      <c r="G39" s="7">
        <v>16.043</v>
      </c>
      <c r="H39" s="7"/>
      <c r="I39" s="7"/>
      <c r="J39" s="7"/>
      <c r="K39" s="7"/>
      <c r="L39" s="7"/>
      <c r="M39" s="7"/>
      <c r="N39" s="7"/>
      <c r="O39" s="7"/>
      <c r="P39" s="25"/>
      <c r="Q39" s="7">
        <v>4.418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38.234</v>
      </c>
      <c r="AB39" s="53">
        <f t="shared" si="4"/>
        <v>-34.946999999999996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13.617</v>
      </c>
      <c r="D40" s="7"/>
      <c r="E40" s="7"/>
      <c r="F40" s="7">
        <v>2.193</v>
      </c>
      <c r="G40" s="7">
        <v>4.355</v>
      </c>
      <c r="H40" s="7"/>
      <c r="I40" s="7"/>
      <c r="J40" s="7"/>
      <c r="K40" s="7"/>
      <c r="L40" s="7">
        <v>0.61</v>
      </c>
      <c r="M40" s="7"/>
      <c r="N40" s="7"/>
      <c r="O40" s="7"/>
      <c r="P40" s="7"/>
      <c r="Q40" s="7">
        <v>2.402</v>
      </c>
      <c r="R40" s="7"/>
      <c r="S40" s="7"/>
      <c r="T40" s="7">
        <v>1.468</v>
      </c>
      <c r="U40" s="7"/>
      <c r="V40" s="7"/>
      <c r="W40" s="7"/>
      <c r="X40" s="7"/>
      <c r="Y40" s="7"/>
      <c r="Z40" s="7"/>
      <c r="AA40" s="7">
        <f>SUM(D40:Z40)</f>
        <v>11.028</v>
      </c>
      <c r="AB40" s="53">
        <f t="shared" si="4"/>
        <v>-2.5890000000000004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239.59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58.351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4.243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66.831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129.425</v>
      </c>
      <c r="AB41" s="53">
        <f t="shared" si="4"/>
        <v>-110.16499999999999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196.494</v>
      </c>
      <c r="D42" s="7"/>
      <c r="E42" s="7"/>
      <c r="F42" s="7"/>
      <c r="G42" s="7"/>
      <c r="H42" s="7"/>
      <c r="I42" s="7"/>
      <c r="J42" s="8">
        <v>41.1</v>
      </c>
      <c r="K42" s="7"/>
      <c r="L42" s="7"/>
      <c r="M42" s="7"/>
      <c r="N42" s="7"/>
      <c r="O42" s="7"/>
      <c r="P42" s="25"/>
      <c r="Q42" s="7"/>
      <c r="R42" s="25"/>
      <c r="S42" s="7">
        <v>66.531</v>
      </c>
      <c r="T42" s="7"/>
      <c r="U42" s="7"/>
      <c r="V42" s="8"/>
      <c r="W42" s="8"/>
      <c r="X42" s="7"/>
      <c r="Y42" s="7"/>
      <c r="Z42" s="7"/>
      <c r="AA42" s="7">
        <f>SUM(D42:Z42)</f>
        <v>107.631</v>
      </c>
      <c r="AB42" s="53">
        <f t="shared" si="4"/>
        <v>-88.863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32.064</v>
      </c>
      <c r="D43" s="7"/>
      <c r="E43" s="7"/>
      <c r="F43" s="7"/>
      <c r="G43" s="7"/>
      <c r="H43" s="7"/>
      <c r="I43" s="7"/>
      <c r="J43" s="8">
        <v>12.575</v>
      </c>
      <c r="K43" s="7"/>
      <c r="L43" s="7"/>
      <c r="M43" s="7"/>
      <c r="N43" s="7"/>
      <c r="O43" s="7">
        <v>1.455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14.03</v>
      </c>
      <c r="AB43" s="53">
        <f t="shared" si="4"/>
        <v>-18.034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11.032</v>
      </c>
      <c r="D44" s="7"/>
      <c r="E44" s="7"/>
      <c r="F44" s="7"/>
      <c r="G44" s="7"/>
      <c r="H44" s="7"/>
      <c r="I44" s="7"/>
      <c r="J44" s="7">
        <v>4.676</v>
      </c>
      <c r="K44" s="7"/>
      <c r="L44" s="7"/>
      <c r="M44" s="7"/>
      <c r="N44" s="7"/>
      <c r="O44" s="7">
        <v>2.788</v>
      </c>
      <c r="P44" s="7"/>
      <c r="Q44" s="7"/>
      <c r="R44" s="7"/>
      <c r="S44" s="7">
        <v>0.3</v>
      </c>
      <c r="T44" s="7"/>
      <c r="U44" s="7"/>
      <c r="V44" s="7"/>
      <c r="W44" s="7"/>
      <c r="X44" s="7"/>
      <c r="Y44" s="7"/>
      <c r="Z44" s="7"/>
      <c r="AA44" s="7">
        <f>SUM(D44:Z44)</f>
        <v>7.764</v>
      </c>
      <c r="AB44" s="53">
        <f t="shared" si="4"/>
        <v>-3.268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150.941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52.6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30.117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82.717</v>
      </c>
      <c r="AB45" s="53">
        <f t="shared" si="4"/>
        <v>-68.224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138.375</v>
      </c>
      <c r="D46" s="7"/>
      <c r="E46" s="7"/>
      <c r="F46" s="7"/>
      <c r="G46" s="7">
        <v>48.622</v>
      </c>
      <c r="H46" s="7"/>
      <c r="I46" s="7"/>
      <c r="J46" s="8"/>
      <c r="K46" s="7"/>
      <c r="L46" s="7"/>
      <c r="M46" s="7"/>
      <c r="N46" s="7"/>
      <c r="O46" s="7"/>
      <c r="P46" s="7">
        <v>30.117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78.739</v>
      </c>
      <c r="AB46" s="53">
        <f t="shared" si="4"/>
        <v>-59.635999999999996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10.206</v>
      </c>
      <c r="D47" s="7"/>
      <c r="E47" s="7"/>
      <c r="F47" s="7"/>
      <c r="G47" s="7">
        <v>3.978</v>
      </c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3.978</v>
      </c>
      <c r="AB47" s="53">
        <f t="shared" si="4"/>
        <v>-6.228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2.36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-2.36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1.4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3.823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5.223</v>
      </c>
      <c r="AB49" s="53">
        <f t="shared" si="4"/>
        <v>-10.877000000000002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>
        <v>1.4</v>
      </c>
      <c r="K50" s="8"/>
      <c r="L50" s="8"/>
      <c r="M50" s="8"/>
      <c r="N50" s="8"/>
      <c r="O50" s="8"/>
      <c r="P50" s="8"/>
      <c r="Q50" s="8"/>
      <c r="R50" s="8"/>
      <c r="S50" s="8"/>
      <c r="T50" s="8">
        <v>3.823</v>
      </c>
      <c r="U50" s="8"/>
      <c r="V50" s="8"/>
      <c r="W50" s="8"/>
      <c r="X50" s="8"/>
      <c r="Y50" s="8"/>
      <c r="Z50" s="8"/>
      <c r="AA50" s="7">
        <f>SUM(D50:Z50)</f>
        <v>5.223</v>
      </c>
      <c r="AB50" s="53">
        <f t="shared" si="4"/>
        <v>-0.7770000000000001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f>20.2-10.1</f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939.825</v>
      </c>
      <c r="D52" s="18">
        <f t="shared" si="14"/>
        <v>0</v>
      </c>
      <c r="E52" s="18">
        <f t="shared" si="14"/>
        <v>53.071</v>
      </c>
      <c r="F52" s="18">
        <f t="shared" si="14"/>
        <v>0</v>
      </c>
      <c r="G52" s="18">
        <f t="shared" si="14"/>
        <v>0</v>
      </c>
      <c r="H52" s="18">
        <f t="shared" si="14"/>
        <v>77.634</v>
      </c>
      <c r="I52" s="18">
        <f t="shared" si="14"/>
        <v>0</v>
      </c>
      <c r="J52" s="18">
        <f t="shared" si="14"/>
        <v>155.375</v>
      </c>
      <c r="K52" s="18">
        <f t="shared" si="14"/>
        <v>0</v>
      </c>
      <c r="L52" s="18">
        <f t="shared" si="14"/>
        <v>4.261</v>
      </c>
      <c r="M52" s="18">
        <f t="shared" si="14"/>
        <v>0</v>
      </c>
      <c r="N52" s="18">
        <f t="shared" si="14"/>
        <v>0</v>
      </c>
      <c r="O52" s="18">
        <f t="shared" si="14"/>
        <v>5.362</v>
      </c>
      <c r="P52" s="18">
        <f t="shared" si="14"/>
        <v>0</v>
      </c>
      <c r="Q52" s="18">
        <f t="shared" si="14"/>
        <v>0</v>
      </c>
      <c r="R52" s="18">
        <f t="shared" si="14"/>
        <v>221.442</v>
      </c>
      <c r="S52" s="18">
        <f t="shared" si="14"/>
        <v>57.993</v>
      </c>
      <c r="T52" s="18">
        <f>SUM(T53:T56)</f>
        <v>0</v>
      </c>
      <c r="U52" s="18">
        <f t="shared" si="14"/>
        <v>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577.138</v>
      </c>
      <c r="AB52" s="53">
        <f t="shared" si="4"/>
        <v>-362.687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519.421</v>
      </c>
      <c r="D53" s="7"/>
      <c r="E53" s="7"/>
      <c r="F53" s="7"/>
      <c r="G53" s="7"/>
      <c r="H53" s="7"/>
      <c r="I53" s="7"/>
      <c r="J53" s="8">
        <v>155.28</v>
      </c>
      <c r="K53" s="7"/>
      <c r="L53" s="7"/>
      <c r="M53" s="7"/>
      <c r="N53" s="7"/>
      <c r="O53" s="7"/>
      <c r="P53" s="25"/>
      <c r="Q53" s="7"/>
      <c r="R53" s="25">
        <v>221.054</v>
      </c>
      <c r="S53" s="7">
        <v>57.993</v>
      </c>
      <c r="T53" s="7"/>
      <c r="U53" s="7"/>
      <c r="V53" s="8"/>
      <c r="W53" s="8"/>
      <c r="X53" s="8"/>
      <c r="Y53" s="7"/>
      <c r="Z53" s="7"/>
      <c r="AA53" s="7">
        <f>SUM(D53:Z53)</f>
        <v>434.327</v>
      </c>
      <c r="AB53" s="53">
        <f t="shared" si="4"/>
        <v>-85.09400000000005</v>
      </c>
    </row>
    <row r="54" spans="2:28" ht="15.75">
      <c r="B54" s="3" t="s">
        <v>1</v>
      </c>
      <c r="C54" s="23">
        <v>303.264</v>
      </c>
      <c r="D54" s="7"/>
      <c r="E54" s="7">
        <v>48.961</v>
      </c>
      <c r="F54" s="7"/>
      <c r="G54" s="7"/>
      <c r="H54" s="7">
        <v>77.634</v>
      </c>
      <c r="I54" s="7"/>
      <c r="J54" s="8"/>
      <c r="K54" s="7"/>
      <c r="L54" s="7"/>
      <c r="M54" s="7"/>
      <c r="N54" s="7"/>
      <c r="O54" s="7">
        <v>5.252</v>
      </c>
      <c r="P54" s="25"/>
      <c r="Q54" s="7"/>
      <c r="R54" s="25">
        <v>0.388</v>
      </c>
      <c r="S54" s="7"/>
      <c r="T54" s="7"/>
      <c r="U54" s="7"/>
      <c r="V54" s="8"/>
      <c r="W54" s="8"/>
      <c r="X54" s="8"/>
      <c r="Y54" s="7"/>
      <c r="Z54" s="7"/>
      <c r="AA54" s="7">
        <f>SUM(D54:Z54)</f>
        <v>132.235</v>
      </c>
      <c r="AB54" s="53">
        <f t="shared" si="4"/>
        <v>-171.029</v>
      </c>
    </row>
    <row r="55" spans="2:28" ht="15.75">
      <c r="B55" s="3" t="s">
        <v>9</v>
      </c>
      <c r="C55" s="23">
        <v>3.02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-3.02</v>
      </c>
    </row>
    <row r="56" spans="2:29" ht="15.75">
      <c r="B56" s="3" t="s">
        <v>5</v>
      </c>
      <c r="C56" s="23">
        <v>114.12</v>
      </c>
      <c r="D56" s="7"/>
      <c r="E56" s="7">
        <v>4.11</v>
      </c>
      <c r="F56" s="7"/>
      <c r="G56" s="7"/>
      <c r="H56" s="7"/>
      <c r="I56" s="7"/>
      <c r="J56" s="7">
        <v>0.095</v>
      </c>
      <c r="K56" s="7"/>
      <c r="L56" s="7">
        <v>4.261</v>
      </c>
      <c r="M56" s="7"/>
      <c r="N56" s="7"/>
      <c r="O56" s="7">
        <v>0.11</v>
      </c>
      <c r="P56" s="7"/>
      <c r="Q56" s="7"/>
      <c r="R56" s="7"/>
      <c r="S56" s="7"/>
      <c r="T56" s="7"/>
      <c r="U56" s="7">
        <v>2</v>
      </c>
      <c r="V56" s="7"/>
      <c r="W56" s="7"/>
      <c r="X56" s="7"/>
      <c r="Y56" s="7"/>
      <c r="Z56" s="7"/>
      <c r="AA56" s="7">
        <f>SUM(D56:Z56)</f>
        <v>10.576</v>
      </c>
      <c r="AB56" s="53">
        <f t="shared" si="4"/>
        <v>-103.54400000000001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598.521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13.414</v>
      </c>
      <c r="G57" s="18">
        <f t="shared" si="15"/>
        <v>2.92</v>
      </c>
      <c r="H57" s="18">
        <f t="shared" si="15"/>
        <v>60.696</v>
      </c>
      <c r="I57" s="18">
        <f t="shared" si="15"/>
        <v>0</v>
      </c>
      <c r="J57" s="18">
        <f t="shared" si="15"/>
        <v>0</v>
      </c>
      <c r="K57" s="18">
        <f t="shared" si="15"/>
        <v>120.951</v>
      </c>
      <c r="L57" s="18">
        <f t="shared" si="15"/>
        <v>0</v>
      </c>
      <c r="M57" s="18">
        <f t="shared" si="15"/>
        <v>10.966</v>
      </c>
      <c r="N57" s="18">
        <f t="shared" si="15"/>
        <v>0</v>
      </c>
      <c r="O57" s="18">
        <f t="shared" si="15"/>
        <v>0</v>
      </c>
      <c r="P57" s="18">
        <f t="shared" si="15"/>
        <v>8.811</v>
      </c>
      <c r="Q57" s="18">
        <f t="shared" si="15"/>
        <v>20.705</v>
      </c>
      <c r="R57" s="18">
        <f t="shared" si="15"/>
        <v>13.143</v>
      </c>
      <c r="S57" s="18">
        <f t="shared" si="15"/>
        <v>0</v>
      </c>
      <c r="T57" s="18">
        <f>SUM(T58:T62)</f>
        <v>0</v>
      </c>
      <c r="U57" s="18">
        <f>SUM(U58:U62)</f>
        <v>153.53300000000002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405.13900000000007</v>
      </c>
      <c r="AB57" s="53">
        <f t="shared" si="4"/>
        <v>-193.3819999999999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f>378.697-11</f>
        <v>367.697</v>
      </c>
      <c r="D58" s="7"/>
      <c r="E58" s="7"/>
      <c r="F58" s="7"/>
      <c r="G58" s="7"/>
      <c r="H58" s="7"/>
      <c r="I58" s="7"/>
      <c r="J58" s="25"/>
      <c r="K58" s="7">
        <v>110.66</v>
      </c>
      <c r="L58" s="7"/>
      <c r="M58" s="7"/>
      <c r="N58" s="7"/>
      <c r="O58" s="7"/>
      <c r="P58" s="25"/>
      <c r="Q58" s="7"/>
      <c r="R58" s="25"/>
      <c r="S58" s="7"/>
      <c r="T58" s="7"/>
      <c r="U58" s="7">
        <v>149.508</v>
      </c>
      <c r="V58" s="8"/>
      <c r="W58" s="8"/>
      <c r="X58" s="7"/>
      <c r="Y58" s="7"/>
      <c r="Z58" s="7"/>
      <c r="AA58" s="7">
        <f>SUM(D58:Z58)</f>
        <v>260.168</v>
      </c>
      <c r="AB58" s="53">
        <f t="shared" si="4"/>
        <v>-107.529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99.107</v>
      </c>
      <c r="D60" s="7"/>
      <c r="E60" s="7"/>
      <c r="F60" s="7"/>
      <c r="G60" s="7"/>
      <c r="H60" s="7">
        <v>42.051</v>
      </c>
      <c r="I60" s="7"/>
      <c r="J60" s="8"/>
      <c r="K60" s="7">
        <v>4.496</v>
      </c>
      <c r="L60" s="7"/>
      <c r="M60" s="7">
        <v>0.596</v>
      </c>
      <c r="N60" s="7"/>
      <c r="O60" s="7"/>
      <c r="P60" s="25">
        <v>8.811</v>
      </c>
      <c r="Q60" s="7"/>
      <c r="R60" s="7">
        <v>-1.164</v>
      </c>
      <c r="S60" s="7"/>
      <c r="T60" s="7"/>
      <c r="U60" s="7"/>
      <c r="V60" s="8"/>
      <c r="W60" s="8"/>
      <c r="X60" s="7"/>
      <c r="Y60" s="7"/>
      <c r="Z60" s="7"/>
      <c r="AA60" s="7">
        <f>SUM(D60:Z60)</f>
        <v>54.79</v>
      </c>
      <c r="AB60" s="53">
        <f t="shared" si="4"/>
        <v>-44.317</v>
      </c>
    </row>
    <row r="61" spans="2:28" ht="15.75">
      <c r="B61" s="3" t="s">
        <v>10</v>
      </c>
      <c r="C61" s="23">
        <v>38.475</v>
      </c>
      <c r="D61" s="7"/>
      <c r="E61" s="7"/>
      <c r="F61" s="7">
        <v>7.907</v>
      </c>
      <c r="G61" s="7"/>
      <c r="H61" s="7"/>
      <c r="I61" s="7"/>
      <c r="J61" s="8"/>
      <c r="K61" s="7"/>
      <c r="L61" s="7"/>
      <c r="M61" s="7"/>
      <c r="N61" s="7"/>
      <c r="O61" s="7"/>
      <c r="P61" s="7"/>
      <c r="Q61" s="7">
        <v>20.705</v>
      </c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28.612</v>
      </c>
      <c r="AB61" s="53">
        <f t="shared" si="4"/>
        <v>-9.863000000000003</v>
      </c>
    </row>
    <row r="62" spans="2:28" ht="15.75">
      <c r="B62" s="3" t="s">
        <v>5</v>
      </c>
      <c r="C62" s="23">
        <f>82.242+11</f>
        <v>93.242</v>
      </c>
      <c r="D62" s="7"/>
      <c r="E62" s="7"/>
      <c r="F62" s="7">
        <v>5.507</v>
      </c>
      <c r="G62" s="7">
        <v>2.92</v>
      </c>
      <c r="H62" s="7">
        <v>18.645</v>
      </c>
      <c r="I62" s="7"/>
      <c r="J62" s="7"/>
      <c r="K62" s="7">
        <v>5.795</v>
      </c>
      <c r="L62" s="7"/>
      <c r="M62" s="7">
        <v>10.37</v>
      </c>
      <c r="N62" s="7"/>
      <c r="O62" s="7"/>
      <c r="P62" s="7"/>
      <c r="Q62" s="7"/>
      <c r="R62" s="7">
        <v>14.307</v>
      </c>
      <c r="S62" s="7"/>
      <c r="T62" s="7"/>
      <c r="U62" s="7">
        <v>4.025</v>
      </c>
      <c r="V62" s="7"/>
      <c r="W62" s="7"/>
      <c r="X62" s="7"/>
      <c r="Y62" s="7"/>
      <c r="Z62" s="7"/>
      <c r="AA62" s="7">
        <f>SUM(D62:Z62)</f>
        <v>61.568999999999996</v>
      </c>
      <c r="AB62" s="53">
        <f t="shared" si="4"/>
        <v>-31.67300000000001</v>
      </c>
    </row>
    <row r="63" spans="2:28" ht="15.75">
      <c r="B63" s="13" t="s">
        <v>44</v>
      </c>
      <c r="C63" s="18">
        <f>C64+C65</f>
        <v>3573.378</v>
      </c>
      <c r="D63" s="18">
        <f aca="true" t="shared" si="16" ref="D63:AA63">D64+D65</f>
        <v>0</v>
      </c>
      <c r="E63" s="18">
        <f t="shared" si="16"/>
        <v>4.416</v>
      </c>
      <c r="F63" s="18">
        <f t="shared" si="16"/>
        <v>610.86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94.682</v>
      </c>
      <c r="O63" s="18">
        <f t="shared" si="16"/>
        <v>768.084</v>
      </c>
      <c r="P63" s="18">
        <f t="shared" si="16"/>
        <v>0</v>
      </c>
      <c r="Q63" s="18">
        <f t="shared" si="16"/>
        <v>17.281</v>
      </c>
      <c r="R63" s="18">
        <f t="shared" si="16"/>
        <v>19.982</v>
      </c>
      <c r="S63" s="18">
        <f t="shared" si="16"/>
        <v>0</v>
      </c>
      <c r="T63" s="18">
        <f>T64+T65</f>
        <v>355.048</v>
      </c>
      <c r="U63" s="18">
        <f t="shared" si="16"/>
        <v>195.264</v>
      </c>
      <c r="V63" s="18">
        <f t="shared" si="16"/>
        <v>121.095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2186.712</v>
      </c>
      <c r="AB63" s="53">
        <f t="shared" si="4"/>
        <v>-1386.6660000000002</v>
      </c>
    </row>
    <row r="64" spans="2:28" ht="15.75">
      <c r="B64" s="32" t="s">
        <v>49</v>
      </c>
      <c r="C64" s="27">
        <f>336.896-231.8</f>
        <v>105.096</v>
      </c>
      <c r="D64" s="8"/>
      <c r="E64" s="8">
        <v>4.416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4.416</v>
      </c>
      <c r="AB64" s="53">
        <f t="shared" si="4"/>
        <v>-100.68</v>
      </c>
    </row>
    <row r="65" spans="2:28" ht="15.75">
      <c r="B65" s="32" t="s">
        <v>10</v>
      </c>
      <c r="C65" s="27">
        <f>2347.16+1121.122</f>
        <v>3468.282</v>
      </c>
      <c r="D65" s="8"/>
      <c r="E65" s="8"/>
      <c r="F65" s="8">
        <v>610.86</v>
      </c>
      <c r="G65" s="8"/>
      <c r="H65" s="8"/>
      <c r="I65" s="8"/>
      <c r="J65" s="8"/>
      <c r="K65" s="8"/>
      <c r="L65" s="8"/>
      <c r="M65" s="8"/>
      <c r="N65" s="8">
        <v>94.682</v>
      </c>
      <c r="O65" s="8">
        <v>768.084</v>
      </c>
      <c r="P65" s="8"/>
      <c r="Q65" s="8">
        <v>17.281</v>
      </c>
      <c r="R65" s="8">
        <v>19.982</v>
      </c>
      <c r="S65" s="8"/>
      <c r="T65" s="8">
        <v>355.048</v>
      </c>
      <c r="U65" s="8">
        <v>195.264</v>
      </c>
      <c r="V65" s="8">
        <v>121.095</v>
      </c>
      <c r="W65" s="8"/>
      <c r="X65" s="8"/>
      <c r="Y65" s="8"/>
      <c r="Z65" s="8"/>
      <c r="AA65" s="8">
        <f>SUM(D65:Z65)</f>
        <v>2182.296</v>
      </c>
      <c r="AB65" s="53">
        <f t="shared" si="4"/>
        <v>-1285.9860000000003</v>
      </c>
    </row>
    <row r="66" spans="2:28" ht="15.75">
      <c r="B66" s="13" t="s">
        <v>63</v>
      </c>
      <c r="C66" s="18">
        <f>C67+C68</f>
        <v>16.454000000000004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13.577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13.577</v>
      </c>
      <c r="AB66" s="53">
        <f t="shared" si="4"/>
        <v>-2.877000000000004</v>
      </c>
    </row>
    <row r="67" spans="2:28" ht="15.75">
      <c r="B67" s="3" t="s">
        <v>1</v>
      </c>
      <c r="C67" s="27">
        <f>48.127-32</f>
        <v>16.127000000000002</v>
      </c>
      <c r="D67" s="8"/>
      <c r="E67" s="8"/>
      <c r="F67" s="8"/>
      <c r="G67" s="8"/>
      <c r="H67" s="8">
        <v>13.577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13.577</v>
      </c>
      <c r="AB67" s="53">
        <f t="shared" si="4"/>
        <v>-2.5500000000000025</v>
      </c>
    </row>
    <row r="68" spans="2:28" ht="15.75">
      <c r="B68" s="3" t="s">
        <v>10</v>
      </c>
      <c r="C68" s="27">
        <v>0.327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-0.327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107</v>
      </c>
      <c r="AB69" s="53">
        <f t="shared" si="4"/>
        <v>107</v>
      </c>
    </row>
    <row r="70" spans="1:29" ht="15.75">
      <c r="A70" s="10">
        <v>170703</v>
      </c>
      <c r="B70" s="13" t="s">
        <v>45</v>
      </c>
      <c r="C70" s="18">
        <f>C71</f>
        <v>805.8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48</v>
      </c>
      <c r="P70" s="18">
        <f t="shared" si="18"/>
        <v>0</v>
      </c>
      <c r="Q70" s="18">
        <f t="shared" si="18"/>
        <v>0</v>
      </c>
      <c r="R70" s="18">
        <f t="shared" si="18"/>
        <v>59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107</v>
      </c>
      <c r="AB70" s="53">
        <f t="shared" si="4"/>
        <v>-698.8</v>
      </c>
      <c r="AC70" s="35"/>
    </row>
    <row r="71" spans="2:40" s="35" customFormat="1" ht="15.75">
      <c r="B71" s="32" t="s">
        <v>49</v>
      </c>
      <c r="C71" s="27">
        <f>800+5.8</f>
        <v>805.8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48</v>
      </c>
      <c r="P71" s="8"/>
      <c r="Q71" s="8"/>
      <c r="R71" s="8">
        <v>59</v>
      </c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107</v>
      </c>
      <c r="AB71" s="53">
        <f t="shared" si="4"/>
        <v>-698.8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50.25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-50.25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>
        <v>1231.95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4"/>
        <v>0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>
        <v>212.557</v>
      </c>
      <c r="E77" s="18">
        <v>50.808</v>
      </c>
      <c r="F77" s="18">
        <v>316.374</v>
      </c>
      <c r="G77" s="18">
        <v>59.929</v>
      </c>
      <c r="H77" s="18">
        <v>13.999</v>
      </c>
      <c r="I77" s="18">
        <v>42</v>
      </c>
      <c r="J77" s="18">
        <v>4.86</v>
      </c>
      <c r="K77" s="18">
        <v>20.19</v>
      </c>
      <c r="L77" s="18">
        <v>3.564</v>
      </c>
      <c r="M77" s="18"/>
      <c r="N77" s="18">
        <v>2.085</v>
      </c>
      <c r="O77" s="18">
        <v>910.019</v>
      </c>
      <c r="P77" s="18"/>
      <c r="Q77" s="18">
        <v>182.449</v>
      </c>
      <c r="R77" s="18">
        <v>15.371</v>
      </c>
      <c r="S77" s="18">
        <v>160.177</v>
      </c>
      <c r="T77" s="18">
        <v>530.973</v>
      </c>
      <c r="U77" s="18"/>
      <c r="V77" s="18">
        <v>-3.882</v>
      </c>
      <c r="W77" s="18"/>
      <c r="X77" s="18"/>
      <c r="Y77" s="18"/>
      <c r="Z77" s="18"/>
      <c r="AA77" s="18">
        <f t="shared" si="19"/>
        <v>2521.4730000000004</v>
      </c>
      <c r="AB77" s="53">
        <f t="shared" si="4"/>
        <v>2521.4730000000004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33491.764</v>
      </c>
      <c r="D78" s="26">
        <f aca="true" t="shared" si="20" ref="D78:AA78">SUM(D79:D85)</f>
        <v>212.737</v>
      </c>
      <c r="E78" s="26">
        <f t="shared" si="20"/>
        <v>1387.373</v>
      </c>
      <c r="F78" s="26">
        <f t="shared" si="20"/>
        <v>1212.47</v>
      </c>
      <c r="G78" s="26">
        <f t="shared" si="20"/>
        <v>643.546</v>
      </c>
      <c r="H78" s="26">
        <f t="shared" si="20"/>
        <v>973.2180000000001</v>
      </c>
      <c r="I78" s="26">
        <f t="shared" si="20"/>
        <v>119.566</v>
      </c>
      <c r="J78" s="26">
        <f t="shared" si="20"/>
        <v>6940.186000000001</v>
      </c>
      <c r="K78" s="26">
        <f t="shared" si="20"/>
        <v>1203.1060000000002</v>
      </c>
      <c r="L78" s="26">
        <f t="shared" si="20"/>
        <v>202.494</v>
      </c>
      <c r="M78" s="26">
        <f t="shared" si="20"/>
        <v>364.625</v>
      </c>
      <c r="N78" s="26">
        <f t="shared" si="20"/>
        <v>170.436</v>
      </c>
      <c r="O78" s="26">
        <f t="shared" si="20"/>
        <v>1756.493</v>
      </c>
      <c r="P78" s="26">
        <f t="shared" si="20"/>
        <v>54.658</v>
      </c>
      <c r="Q78" s="26">
        <f t="shared" si="20"/>
        <v>2213.445</v>
      </c>
      <c r="R78" s="26">
        <f t="shared" si="20"/>
        <v>1671.718</v>
      </c>
      <c r="S78" s="26">
        <f t="shared" si="20"/>
        <v>3764.59</v>
      </c>
      <c r="T78" s="26">
        <f>SUM(T79:T85)</f>
        <v>2130.18</v>
      </c>
      <c r="U78" s="26">
        <f t="shared" si="20"/>
        <v>329.14900000000006</v>
      </c>
      <c r="V78" s="26">
        <f t="shared" si="20"/>
        <v>113.692</v>
      </c>
      <c r="W78" s="26">
        <f t="shared" si="20"/>
        <v>0</v>
      </c>
      <c r="X78" s="26">
        <f t="shared" si="20"/>
        <v>0</v>
      </c>
      <c r="Y78" s="26">
        <f t="shared" si="20"/>
        <v>0</v>
      </c>
      <c r="Z78" s="26">
        <f t="shared" si="20"/>
        <v>0</v>
      </c>
      <c r="AA78" s="26">
        <f t="shared" si="20"/>
        <v>25570.682</v>
      </c>
      <c r="AB78" s="53">
        <f t="shared" si="4"/>
        <v>-7921.082000000002</v>
      </c>
      <c r="AC78" s="4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17105.147</v>
      </c>
      <c r="D79" s="23">
        <f aca="true" t="shared" si="21" ref="D79:AA79">D20+D36+D42+D46+D50+D53+D58+D24</f>
        <v>0</v>
      </c>
      <c r="E79" s="23">
        <f t="shared" si="21"/>
        <v>12.169</v>
      </c>
      <c r="F79" s="23">
        <f t="shared" si="21"/>
        <v>28.819000000000003</v>
      </c>
      <c r="G79" s="23">
        <f t="shared" si="21"/>
        <v>158.18599999999998</v>
      </c>
      <c r="H79" s="23">
        <f t="shared" si="21"/>
        <v>273.672</v>
      </c>
      <c r="I79" s="23">
        <f t="shared" si="21"/>
        <v>77.566</v>
      </c>
      <c r="J79" s="23">
        <f t="shared" si="21"/>
        <v>4528.8330000000005</v>
      </c>
      <c r="K79" s="23">
        <f t="shared" si="21"/>
        <v>1105.2450000000001</v>
      </c>
      <c r="L79" s="23">
        <f t="shared" si="21"/>
        <v>165.087</v>
      </c>
      <c r="M79" s="23">
        <f t="shared" si="21"/>
        <v>15.812</v>
      </c>
      <c r="N79" s="23">
        <f t="shared" si="21"/>
        <v>0</v>
      </c>
      <c r="O79" s="23">
        <f t="shared" si="21"/>
        <v>0</v>
      </c>
      <c r="P79" s="23">
        <f t="shared" si="21"/>
        <v>30.117</v>
      </c>
      <c r="Q79" s="23">
        <f t="shared" si="21"/>
        <v>1693.941</v>
      </c>
      <c r="R79" s="23">
        <f t="shared" si="21"/>
        <v>1359.2820000000002</v>
      </c>
      <c r="S79" s="23">
        <f t="shared" si="21"/>
        <v>3297.1220000000003</v>
      </c>
      <c r="T79" s="23">
        <f t="shared" si="21"/>
        <v>1092.4209999999998</v>
      </c>
      <c r="U79" s="23">
        <f t="shared" si="21"/>
        <v>149.508</v>
      </c>
      <c r="V79" s="23">
        <f t="shared" si="21"/>
        <v>0</v>
      </c>
      <c r="W79" s="23">
        <f t="shared" si="21"/>
        <v>0</v>
      </c>
      <c r="X79" s="23">
        <f t="shared" si="21"/>
        <v>0</v>
      </c>
      <c r="Y79" s="23">
        <f t="shared" si="21"/>
        <v>0</v>
      </c>
      <c r="Z79" s="23">
        <f t="shared" si="21"/>
        <v>0</v>
      </c>
      <c r="AA79" s="23">
        <f t="shared" si="21"/>
        <v>13987.779999999999</v>
      </c>
      <c r="AB79" s="53">
        <f t="shared" si="4"/>
        <v>-3117.367000000002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13.505</v>
      </c>
      <c r="D80" s="23">
        <f aca="true" t="shared" si="22" ref="D80:AA80">D25+D37+D59</f>
        <v>0</v>
      </c>
      <c r="E80" s="23">
        <f t="shared" si="22"/>
        <v>0</v>
      </c>
      <c r="F80" s="23">
        <f t="shared" si="22"/>
        <v>1.793</v>
      </c>
      <c r="G80" s="23">
        <f t="shared" si="22"/>
        <v>1.5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0.999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  <c r="R80" s="23">
        <f t="shared" si="22"/>
        <v>0</v>
      </c>
      <c r="S80" s="23">
        <f t="shared" si="22"/>
        <v>0</v>
      </c>
      <c r="T80" s="23">
        <f t="shared" si="22"/>
        <v>0</v>
      </c>
      <c r="U80" s="23">
        <f t="shared" si="22"/>
        <v>0</v>
      </c>
      <c r="V80" s="23">
        <f t="shared" si="22"/>
        <v>0</v>
      </c>
      <c r="W80" s="23">
        <f t="shared" si="22"/>
        <v>0</v>
      </c>
      <c r="X80" s="23">
        <f t="shared" si="22"/>
        <v>0</v>
      </c>
      <c r="Y80" s="23">
        <f t="shared" si="22"/>
        <v>0</v>
      </c>
      <c r="Z80" s="23">
        <f t="shared" si="22"/>
        <v>0</v>
      </c>
      <c r="AA80" s="23">
        <f t="shared" si="22"/>
        <v>4.292</v>
      </c>
      <c r="AB80" s="53">
        <f t="shared" si="4"/>
        <v>-9.213000000000001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763.1279999999999</v>
      </c>
      <c r="D81" s="23">
        <f aca="true" t="shared" si="23" ref="D81:AA81">D26+D38</f>
        <v>0</v>
      </c>
      <c r="E81" s="23">
        <f t="shared" si="23"/>
        <v>27.076</v>
      </c>
      <c r="F81" s="23">
        <f t="shared" si="23"/>
        <v>8.699</v>
      </c>
      <c r="G81" s="23">
        <f t="shared" si="23"/>
        <v>62.198</v>
      </c>
      <c r="H81" s="23">
        <f t="shared" si="23"/>
        <v>6.136</v>
      </c>
      <c r="I81" s="23">
        <f t="shared" si="23"/>
        <v>0</v>
      </c>
      <c r="J81" s="23">
        <f t="shared" si="23"/>
        <v>42.39</v>
      </c>
      <c r="K81" s="23">
        <f t="shared" si="23"/>
        <v>52.909</v>
      </c>
      <c r="L81" s="23">
        <f t="shared" si="23"/>
        <v>0</v>
      </c>
      <c r="M81" s="23">
        <f t="shared" si="23"/>
        <v>147.311</v>
      </c>
      <c r="N81" s="23">
        <f t="shared" si="23"/>
        <v>34.944</v>
      </c>
      <c r="O81" s="23">
        <f t="shared" si="23"/>
        <v>0</v>
      </c>
      <c r="P81" s="23">
        <f t="shared" si="23"/>
        <v>0</v>
      </c>
      <c r="Q81" s="23">
        <f t="shared" si="23"/>
        <v>86.818</v>
      </c>
      <c r="R81" s="23">
        <f t="shared" si="23"/>
        <v>67.215</v>
      </c>
      <c r="S81" s="23">
        <f t="shared" si="23"/>
        <v>34.229</v>
      </c>
      <c r="T81" s="23">
        <f t="shared" si="23"/>
        <v>3.3</v>
      </c>
      <c r="U81" s="23">
        <f t="shared" si="23"/>
        <v>0</v>
      </c>
      <c r="V81" s="23">
        <f t="shared" si="23"/>
        <v>0</v>
      </c>
      <c r="W81" s="23">
        <f t="shared" si="23"/>
        <v>0</v>
      </c>
      <c r="X81" s="23">
        <f t="shared" si="23"/>
        <v>0</v>
      </c>
      <c r="Y81" s="23">
        <f t="shared" si="23"/>
        <v>0</v>
      </c>
      <c r="Z81" s="23">
        <f t="shared" si="23"/>
        <v>0</v>
      </c>
      <c r="AA81" s="23">
        <f t="shared" si="23"/>
        <v>573.225</v>
      </c>
      <c r="AB81" s="53">
        <f t="shared" si="4"/>
        <v>-189.9029999999999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4597.287000000001</v>
      </c>
      <c r="D82" s="23">
        <f aca="true" t="shared" si="24" ref="D82:AA82">D21+D27+D39+D43+D47+D54+D60+D67</f>
        <v>0</v>
      </c>
      <c r="E82" s="23">
        <f t="shared" si="24"/>
        <v>49.193999999999996</v>
      </c>
      <c r="F82" s="23">
        <f t="shared" si="24"/>
        <v>124.682</v>
      </c>
      <c r="G82" s="23">
        <f t="shared" si="24"/>
        <v>309.40900000000005</v>
      </c>
      <c r="H82" s="23">
        <f t="shared" si="24"/>
        <v>504.285</v>
      </c>
      <c r="I82" s="23">
        <f t="shared" si="24"/>
        <v>0</v>
      </c>
      <c r="J82" s="23">
        <f t="shared" si="24"/>
        <v>1045.959</v>
      </c>
      <c r="K82" s="23">
        <f t="shared" si="24"/>
        <v>13.798</v>
      </c>
      <c r="L82" s="23">
        <f t="shared" si="24"/>
        <v>0</v>
      </c>
      <c r="M82" s="23">
        <f t="shared" si="24"/>
        <v>27.935</v>
      </c>
      <c r="N82" s="23">
        <f t="shared" si="24"/>
        <v>12.779</v>
      </c>
      <c r="O82" s="23">
        <f t="shared" si="24"/>
        <v>27.481999999999996</v>
      </c>
      <c r="P82" s="23">
        <f t="shared" si="24"/>
        <v>8.828</v>
      </c>
      <c r="Q82" s="23">
        <f t="shared" si="24"/>
        <v>113.17200000000001</v>
      </c>
      <c r="R82" s="23">
        <f t="shared" si="24"/>
        <v>25.259</v>
      </c>
      <c r="S82" s="23">
        <f t="shared" si="24"/>
        <v>118.411</v>
      </c>
      <c r="T82" s="23">
        <f t="shared" si="24"/>
        <v>1.155</v>
      </c>
      <c r="U82" s="23">
        <f t="shared" si="24"/>
        <v>-25.5</v>
      </c>
      <c r="V82" s="23">
        <f t="shared" si="24"/>
        <v>-3.245</v>
      </c>
      <c r="W82" s="23">
        <f t="shared" si="24"/>
        <v>0</v>
      </c>
      <c r="X82" s="23">
        <f t="shared" si="24"/>
        <v>0</v>
      </c>
      <c r="Y82" s="23">
        <f t="shared" si="24"/>
        <v>0</v>
      </c>
      <c r="Z82" s="23">
        <f t="shared" si="24"/>
        <v>0</v>
      </c>
      <c r="AA82" s="23">
        <f t="shared" si="24"/>
        <v>2353.6030000000005</v>
      </c>
      <c r="AB82" s="53">
        <f>AA82-C82</f>
        <v>-2243.6840000000007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3.02</v>
      </c>
      <c r="D83" s="23">
        <f aca="true" t="shared" si="25" ref="D83:AA83">D55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53">
        <f>AA83-C83</f>
        <v>-3.02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7263.835</v>
      </c>
      <c r="D84" s="23">
        <f aca="true" t="shared" si="26" ref="D84:AA84">D30+D51+D61+D65+D76+D31+D68</f>
        <v>0</v>
      </c>
      <c r="E84" s="23">
        <f t="shared" si="26"/>
        <v>1231.95</v>
      </c>
      <c r="F84" s="23">
        <f t="shared" si="26"/>
        <v>618.767</v>
      </c>
      <c r="G84" s="23">
        <f t="shared" si="26"/>
        <v>12.061</v>
      </c>
      <c r="H84" s="23">
        <f t="shared" si="26"/>
        <v>29.653</v>
      </c>
      <c r="I84" s="23">
        <f t="shared" si="26"/>
        <v>0</v>
      </c>
      <c r="J84" s="23">
        <f t="shared" si="26"/>
        <v>1231.95</v>
      </c>
      <c r="K84" s="23">
        <f t="shared" si="26"/>
        <v>0</v>
      </c>
      <c r="L84" s="23">
        <f t="shared" si="26"/>
        <v>0</v>
      </c>
      <c r="M84" s="23">
        <f t="shared" si="26"/>
        <v>17.932</v>
      </c>
      <c r="N84" s="23">
        <f t="shared" si="26"/>
        <v>94.682</v>
      </c>
      <c r="O84" s="23">
        <f t="shared" si="26"/>
        <v>768.084</v>
      </c>
      <c r="P84" s="23">
        <f t="shared" si="26"/>
        <v>0</v>
      </c>
      <c r="Q84" s="23">
        <f t="shared" si="26"/>
        <v>125.07999999999998</v>
      </c>
      <c r="R84" s="23">
        <f t="shared" si="26"/>
        <v>19.982</v>
      </c>
      <c r="S84" s="23">
        <f t="shared" si="26"/>
        <v>0</v>
      </c>
      <c r="T84" s="23">
        <f t="shared" si="26"/>
        <v>379.949</v>
      </c>
      <c r="U84" s="23">
        <f t="shared" si="26"/>
        <v>195.264</v>
      </c>
      <c r="V84" s="23">
        <f t="shared" si="26"/>
        <v>121.095</v>
      </c>
      <c r="W84" s="23">
        <f t="shared" si="26"/>
        <v>0</v>
      </c>
      <c r="X84" s="23">
        <f t="shared" si="26"/>
        <v>0</v>
      </c>
      <c r="Y84" s="23">
        <f t="shared" si="26"/>
        <v>0</v>
      </c>
      <c r="Z84" s="23">
        <f t="shared" si="26"/>
        <v>0</v>
      </c>
      <c r="AA84" s="23">
        <f t="shared" si="26"/>
        <v>4846.4490000000005</v>
      </c>
      <c r="AB84" s="53">
        <f>AA84-C84</f>
        <v>-2417.3859999999995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3745.8420000000006</v>
      </c>
      <c r="D85" s="23">
        <f aca="true" t="shared" si="27" ref="D85:AA85">D22+D28+D32+D33+D40+D44+D48+D56+D62+D71+D74+D75+D77+D64+D73+D72+D34+D69</f>
        <v>212.737</v>
      </c>
      <c r="E85" s="23">
        <f t="shared" si="27"/>
        <v>66.984</v>
      </c>
      <c r="F85" s="23">
        <f t="shared" si="27"/>
        <v>429.71000000000004</v>
      </c>
      <c r="G85" s="23">
        <f t="shared" si="27"/>
        <v>100.19200000000001</v>
      </c>
      <c r="H85" s="23">
        <f t="shared" si="27"/>
        <v>159.472</v>
      </c>
      <c r="I85" s="23">
        <f t="shared" si="27"/>
        <v>42</v>
      </c>
      <c r="J85" s="23">
        <f t="shared" si="27"/>
        <v>91.054</v>
      </c>
      <c r="K85" s="23">
        <f t="shared" si="27"/>
        <v>31.154000000000003</v>
      </c>
      <c r="L85" s="23">
        <f t="shared" si="27"/>
        <v>37.407000000000004</v>
      </c>
      <c r="M85" s="23">
        <f t="shared" si="27"/>
        <v>154.63600000000002</v>
      </c>
      <c r="N85" s="23">
        <f t="shared" si="27"/>
        <v>28.031</v>
      </c>
      <c r="O85" s="23">
        <f t="shared" si="27"/>
        <v>960.927</v>
      </c>
      <c r="P85" s="23">
        <f t="shared" si="27"/>
        <v>15.713</v>
      </c>
      <c r="Q85" s="23">
        <f t="shared" si="27"/>
        <v>194.43400000000003</v>
      </c>
      <c r="R85" s="23">
        <f t="shared" si="27"/>
        <v>199.98000000000002</v>
      </c>
      <c r="S85" s="23">
        <f t="shared" si="27"/>
        <v>314.828</v>
      </c>
      <c r="T85" s="23">
        <f t="shared" si="27"/>
        <v>653.355</v>
      </c>
      <c r="U85" s="23">
        <f t="shared" si="27"/>
        <v>9.877</v>
      </c>
      <c r="V85" s="23">
        <f t="shared" si="27"/>
        <v>-4.158</v>
      </c>
      <c r="W85" s="23">
        <f t="shared" si="27"/>
        <v>0</v>
      </c>
      <c r="X85" s="23">
        <f t="shared" si="27"/>
        <v>0</v>
      </c>
      <c r="Y85" s="23">
        <f t="shared" si="27"/>
        <v>0</v>
      </c>
      <c r="Z85" s="23">
        <f t="shared" si="27"/>
        <v>0</v>
      </c>
      <c r="AA85" s="23">
        <f t="shared" si="27"/>
        <v>3805.3330000000005</v>
      </c>
      <c r="AB85" s="53">
        <f>AA85-C85</f>
        <v>59.490999999999985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8" ref="C87:Y87">C18-C78</f>
        <v>0</v>
      </c>
      <c r="D87" s="20">
        <f t="shared" si="28"/>
        <v>0</v>
      </c>
      <c r="E87" s="20">
        <f t="shared" si="28"/>
        <v>0</v>
      </c>
      <c r="F87" s="20">
        <f t="shared" si="28"/>
        <v>0</v>
      </c>
      <c r="G87" s="20">
        <f t="shared" si="28"/>
        <v>0</v>
      </c>
      <c r="H87" s="20">
        <f t="shared" si="28"/>
        <v>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0">
        <f t="shared" si="28"/>
        <v>0</v>
      </c>
      <c r="Q87" s="20">
        <f t="shared" si="28"/>
        <v>0</v>
      </c>
      <c r="R87" s="20">
        <f t="shared" si="28"/>
        <v>0</v>
      </c>
      <c r="S87" s="20">
        <f t="shared" si="28"/>
        <v>0</v>
      </c>
      <c r="T87" s="20">
        <f t="shared" si="28"/>
        <v>0</v>
      </c>
      <c r="U87" s="20">
        <f t="shared" si="28"/>
        <v>0</v>
      </c>
      <c r="V87" s="20">
        <f t="shared" si="28"/>
        <v>0</v>
      </c>
      <c r="W87" s="20">
        <f t="shared" si="28"/>
        <v>0</v>
      </c>
      <c r="X87" s="20">
        <f t="shared" si="28"/>
        <v>0</v>
      </c>
      <c r="Y87" s="20">
        <f t="shared" si="28"/>
        <v>0</v>
      </c>
      <c r="Z87" s="20"/>
      <c r="AA87" s="20">
        <f>AA18-AA78</f>
        <v>-107</v>
      </c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65" topLeftCell="G1" activePane="bottomRight" state="split"/>
      <selection pane="topLeft" activeCell="K25" sqref="K25"/>
      <selection pane="topRight" activeCell="U5" sqref="U5"/>
      <selection pane="bottomLeft" activeCell="B138" sqref="B138"/>
      <selection pane="bottomRight" activeCell="W17" sqref="W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2</v>
      </c>
      <c r="F5" s="5">
        <v>3</v>
      </c>
      <c r="G5" s="5">
        <v>4</v>
      </c>
      <c r="H5" s="5">
        <v>5</v>
      </c>
      <c r="I5" s="5">
        <v>8</v>
      </c>
      <c r="J5" s="6">
        <v>9</v>
      </c>
      <c r="K5" s="5">
        <v>10</v>
      </c>
      <c r="L5" s="5">
        <v>11</v>
      </c>
      <c r="M5" s="5">
        <v>12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22</v>
      </c>
      <c r="T5" s="5">
        <v>23</v>
      </c>
      <c r="U5" s="5">
        <v>24</v>
      </c>
      <c r="V5" s="6">
        <v>25</v>
      </c>
      <c r="W5" s="5">
        <v>26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37.2</v>
      </c>
      <c r="D6" s="45"/>
      <c r="E6" s="7"/>
      <c r="F6" s="9"/>
      <c r="G6" s="7">
        <v>8</v>
      </c>
      <c r="H6" s="9"/>
      <c r="I6" s="9"/>
      <c r="J6" s="46"/>
      <c r="K6" s="9">
        <v>29.2</v>
      </c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/>
      <c r="K7" s="7"/>
      <c r="L7" s="7">
        <v>1800.2</v>
      </c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22862.73</v>
      </c>
      <c r="D8" s="37">
        <f aca="true" t="shared" si="1" ref="D8:Y8">SUM(D9:D16)</f>
        <v>275.49999999999994</v>
      </c>
      <c r="E8" s="37">
        <f t="shared" si="1"/>
        <v>283.3999999999999</v>
      </c>
      <c r="F8" s="37">
        <f t="shared" si="1"/>
        <v>314.40000000000003</v>
      </c>
      <c r="G8" s="37">
        <f t="shared" si="1"/>
        <v>725.8</v>
      </c>
      <c r="H8" s="37">
        <f t="shared" si="1"/>
        <v>4062.9</v>
      </c>
      <c r="I8" s="37">
        <f>SUM(I9:I16)</f>
        <v>2072.8999999999996</v>
      </c>
      <c r="J8" s="37">
        <f t="shared" si="1"/>
        <v>470</v>
      </c>
      <c r="K8" s="37">
        <f>SUM(K9:K16)</f>
        <v>397.99999999999994</v>
      </c>
      <c r="L8" s="37">
        <f t="shared" si="1"/>
        <v>554.9000000000001</v>
      </c>
      <c r="M8" s="37">
        <f t="shared" si="1"/>
        <v>1252.4</v>
      </c>
      <c r="N8" s="37">
        <f t="shared" si="1"/>
        <v>1016.63</v>
      </c>
      <c r="O8" s="37">
        <f t="shared" si="1"/>
        <v>403.00000000000006</v>
      </c>
      <c r="P8" s="37">
        <f t="shared" si="1"/>
        <v>574.6</v>
      </c>
      <c r="Q8" s="37">
        <f t="shared" si="1"/>
        <v>845</v>
      </c>
      <c r="R8" s="37">
        <f t="shared" si="1"/>
        <v>1500.1000000000001</v>
      </c>
      <c r="S8" s="37">
        <f>SUM(S9:S16)</f>
        <v>1343.1999999999998</v>
      </c>
      <c r="T8" s="37">
        <f>SUM(T9:T16)</f>
        <v>1017.8000000000001</v>
      </c>
      <c r="U8" s="37">
        <f t="shared" si="1"/>
        <v>2890.5</v>
      </c>
      <c r="V8" s="37">
        <f t="shared" si="1"/>
        <v>1790.3</v>
      </c>
      <c r="W8" s="37">
        <f t="shared" si="1"/>
        <v>1071.4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10659.599999999999</v>
      </c>
      <c r="D9" s="40">
        <v>68.8</v>
      </c>
      <c r="E9" s="8">
        <v>67.6</v>
      </c>
      <c r="F9" s="8">
        <v>44.4</v>
      </c>
      <c r="G9" s="8">
        <v>592.4</v>
      </c>
      <c r="H9" s="8">
        <v>1565.2</v>
      </c>
      <c r="I9" s="8">
        <v>1766.3</v>
      </c>
      <c r="J9" s="8">
        <v>192.2</v>
      </c>
      <c r="K9" s="8">
        <v>103</v>
      </c>
      <c r="L9" s="8">
        <v>311.3</v>
      </c>
      <c r="M9" s="8">
        <v>955.2</v>
      </c>
      <c r="N9" s="8">
        <v>370.2</v>
      </c>
      <c r="O9" s="8">
        <v>120.2</v>
      </c>
      <c r="P9" s="8">
        <v>69</v>
      </c>
      <c r="Q9" s="8">
        <v>205.5</v>
      </c>
      <c r="R9" s="43">
        <v>1089.4</v>
      </c>
      <c r="S9" s="43">
        <v>844.6</v>
      </c>
      <c r="T9" s="8">
        <v>368.9</v>
      </c>
      <c r="U9" s="43">
        <v>441.8</v>
      </c>
      <c r="V9" s="8">
        <v>1016</v>
      </c>
      <c r="W9" s="8">
        <v>467.6</v>
      </c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3217.2999999999997</v>
      </c>
      <c r="D11" s="40">
        <v>0.1</v>
      </c>
      <c r="E11" s="8"/>
      <c r="F11" s="8">
        <v>0.3</v>
      </c>
      <c r="G11" s="8">
        <v>1</v>
      </c>
      <c r="H11" s="8">
        <v>2295.6</v>
      </c>
      <c r="I11" s="8">
        <v>84.3</v>
      </c>
      <c r="J11" s="8">
        <v>40.3</v>
      </c>
      <c r="K11" s="8">
        <v>25.1</v>
      </c>
      <c r="L11" s="8">
        <v>24.6</v>
      </c>
      <c r="M11" s="8">
        <v>27.5</v>
      </c>
      <c r="N11" s="8">
        <v>60.2</v>
      </c>
      <c r="O11" s="8">
        <v>29.1</v>
      </c>
      <c r="P11" s="8">
        <v>31.4</v>
      </c>
      <c r="Q11" s="8">
        <v>33.7</v>
      </c>
      <c r="R11" s="43">
        <v>34.1</v>
      </c>
      <c r="S11" s="43">
        <v>157.9</v>
      </c>
      <c r="T11" s="8">
        <v>33.5</v>
      </c>
      <c r="U11" s="43">
        <v>93</v>
      </c>
      <c r="V11" s="8">
        <v>166.1</v>
      </c>
      <c r="W11" s="8">
        <v>79.5</v>
      </c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3423.1</v>
      </c>
      <c r="D12" s="40">
        <v>65</v>
      </c>
      <c r="E12" s="8">
        <v>112.8</v>
      </c>
      <c r="F12" s="8">
        <v>12.2</v>
      </c>
      <c r="G12" s="8">
        <v>29.5</v>
      </c>
      <c r="H12" s="8">
        <v>9</v>
      </c>
      <c r="I12" s="8">
        <v>27.1</v>
      </c>
      <c r="J12" s="8">
        <v>44.6</v>
      </c>
      <c r="K12" s="8">
        <v>93.6</v>
      </c>
      <c r="L12" s="8">
        <v>29.3</v>
      </c>
      <c r="M12" s="8">
        <v>84.3</v>
      </c>
      <c r="N12" s="8">
        <v>81.7</v>
      </c>
      <c r="O12" s="8">
        <v>31.9</v>
      </c>
      <c r="P12" s="8">
        <v>146.2</v>
      </c>
      <c r="Q12" s="8">
        <v>379.5</v>
      </c>
      <c r="R12" s="43">
        <v>67.7</v>
      </c>
      <c r="S12" s="43">
        <v>22.2</v>
      </c>
      <c r="T12" s="8">
        <v>111</v>
      </c>
      <c r="U12" s="43">
        <v>1660.3</v>
      </c>
      <c r="V12" s="8">
        <v>204.1</v>
      </c>
      <c r="W12" s="8">
        <v>211.1</v>
      </c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2728.9999999999995</v>
      </c>
      <c r="D13" s="40">
        <v>26.6</v>
      </c>
      <c r="E13" s="8">
        <v>42.2</v>
      </c>
      <c r="F13" s="8">
        <v>134.3</v>
      </c>
      <c r="G13" s="8">
        <v>8.1</v>
      </c>
      <c r="H13" s="8">
        <v>83.2</v>
      </c>
      <c r="I13" s="8">
        <v>42.7</v>
      </c>
      <c r="J13" s="8">
        <v>47.2</v>
      </c>
      <c r="K13" s="8">
        <v>81.1</v>
      </c>
      <c r="L13" s="8">
        <v>52.6</v>
      </c>
      <c r="M13" s="8">
        <v>38.5</v>
      </c>
      <c r="N13" s="8">
        <v>71.3</v>
      </c>
      <c r="O13" s="8">
        <v>34.2</v>
      </c>
      <c r="P13" s="8">
        <v>120</v>
      </c>
      <c r="Q13" s="8">
        <v>48.5</v>
      </c>
      <c r="R13" s="43">
        <v>189.5</v>
      </c>
      <c r="S13" s="43">
        <v>132.6</v>
      </c>
      <c r="T13" s="8">
        <v>457.6</v>
      </c>
      <c r="U13" s="8">
        <v>593.7</v>
      </c>
      <c r="V13" s="8">
        <v>284.2</v>
      </c>
      <c r="W13" s="8">
        <v>240.9</v>
      </c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2226</v>
      </c>
      <c r="D14" s="40">
        <v>61</v>
      </c>
      <c r="E14" s="8">
        <v>48.4</v>
      </c>
      <c r="F14" s="8">
        <v>115.5</v>
      </c>
      <c r="G14" s="8">
        <v>71.9</v>
      </c>
      <c r="H14" s="8">
        <v>98.3</v>
      </c>
      <c r="I14" s="8">
        <v>132</v>
      </c>
      <c r="J14" s="8">
        <v>130.3</v>
      </c>
      <c r="K14" s="8">
        <v>80.2</v>
      </c>
      <c r="L14" s="8">
        <v>102.1</v>
      </c>
      <c r="M14" s="8">
        <v>133.4</v>
      </c>
      <c r="N14" s="8">
        <v>335.1</v>
      </c>
      <c r="O14" s="8">
        <v>155.8</v>
      </c>
      <c r="P14" s="8">
        <v>187.8</v>
      </c>
      <c r="Q14" s="8">
        <v>143.8</v>
      </c>
      <c r="R14" s="43">
        <v>98.5</v>
      </c>
      <c r="S14" s="43">
        <v>135.8</v>
      </c>
      <c r="T14" s="8">
        <v>33.1</v>
      </c>
      <c r="U14" s="43">
        <v>66.7</v>
      </c>
      <c r="V14" s="8">
        <v>50</v>
      </c>
      <c r="W14" s="8">
        <v>46.3</v>
      </c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205.00000000000003</v>
      </c>
      <c r="D15" s="40">
        <v>12.2</v>
      </c>
      <c r="E15" s="8">
        <v>10.4</v>
      </c>
      <c r="F15" s="8">
        <v>5.1</v>
      </c>
      <c r="G15" s="8">
        <v>11.9</v>
      </c>
      <c r="H15" s="8">
        <v>5.1</v>
      </c>
      <c r="I15" s="8">
        <v>15.6</v>
      </c>
      <c r="J15" s="8">
        <v>8</v>
      </c>
      <c r="K15" s="8">
        <v>7.5</v>
      </c>
      <c r="L15" s="8">
        <v>12.6</v>
      </c>
      <c r="M15" s="8">
        <v>6.9</v>
      </c>
      <c r="N15" s="8">
        <v>10.9</v>
      </c>
      <c r="O15" s="8">
        <v>12.6</v>
      </c>
      <c r="P15" s="8">
        <v>10.3</v>
      </c>
      <c r="Q15" s="8">
        <v>12.5</v>
      </c>
      <c r="R15" s="43">
        <v>4.7</v>
      </c>
      <c r="S15" s="43">
        <v>15.5</v>
      </c>
      <c r="T15" s="8">
        <v>6.1</v>
      </c>
      <c r="U15" s="43">
        <v>11.3</v>
      </c>
      <c r="V15" s="8">
        <v>15.9</v>
      </c>
      <c r="W15" s="8">
        <v>9.9</v>
      </c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402.7300000000001</v>
      </c>
      <c r="D16" s="40">
        <v>41.8</v>
      </c>
      <c r="E16" s="8">
        <v>2</v>
      </c>
      <c r="F16" s="8">
        <v>2.6</v>
      </c>
      <c r="G16" s="8">
        <v>11</v>
      </c>
      <c r="H16" s="8">
        <v>6.5</v>
      </c>
      <c r="I16" s="8">
        <v>4.9</v>
      </c>
      <c r="J16" s="8">
        <v>7.4</v>
      </c>
      <c r="K16" s="8">
        <v>7.5</v>
      </c>
      <c r="L16" s="8">
        <v>22.4</v>
      </c>
      <c r="M16" s="8">
        <v>6.6</v>
      </c>
      <c r="N16" s="8">
        <v>87.23</v>
      </c>
      <c r="O16" s="8">
        <v>19.2</v>
      </c>
      <c r="P16" s="8">
        <v>9.9</v>
      </c>
      <c r="Q16" s="8">
        <v>21.5</v>
      </c>
      <c r="R16" s="43">
        <v>16.2</v>
      </c>
      <c r="S16" s="43">
        <v>34.6</v>
      </c>
      <c r="T16" s="8">
        <v>7.6</v>
      </c>
      <c r="U16" s="43">
        <v>23.7</v>
      </c>
      <c r="V16" s="8">
        <v>54</v>
      </c>
      <c r="W16" s="8">
        <v>16.1</v>
      </c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26500.23</v>
      </c>
      <c r="D17" s="22">
        <f>SUM(D6:D8)</f>
        <v>2075.6</v>
      </c>
      <c r="E17" s="22">
        <f aca="true" t="shared" si="2" ref="E17:Y17">SUM(E6:E8)</f>
        <v>283.3999999999999</v>
      </c>
      <c r="F17" s="22">
        <f t="shared" si="2"/>
        <v>314.40000000000003</v>
      </c>
      <c r="G17" s="22">
        <f t="shared" si="2"/>
        <v>733.8</v>
      </c>
      <c r="H17" s="22">
        <f t="shared" si="2"/>
        <v>4062.9</v>
      </c>
      <c r="I17" s="22">
        <f t="shared" si="2"/>
        <v>2072.8999999999996</v>
      </c>
      <c r="J17" s="22">
        <f t="shared" si="2"/>
        <v>470</v>
      </c>
      <c r="K17" s="22">
        <f t="shared" si="2"/>
        <v>427.19999999999993</v>
      </c>
      <c r="L17" s="22">
        <f t="shared" si="2"/>
        <v>2355.1000000000004</v>
      </c>
      <c r="M17" s="22">
        <f>SUM(M6:M8)</f>
        <v>1252.4</v>
      </c>
      <c r="N17" s="22">
        <f t="shared" si="2"/>
        <v>1016.63</v>
      </c>
      <c r="O17" s="22">
        <f t="shared" si="2"/>
        <v>403.00000000000006</v>
      </c>
      <c r="P17" s="22">
        <f t="shared" si="2"/>
        <v>574.6</v>
      </c>
      <c r="Q17" s="22">
        <f t="shared" si="2"/>
        <v>845</v>
      </c>
      <c r="R17" s="22">
        <f t="shared" si="2"/>
        <v>1500.1000000000001</v>
      </c>
      <c r="S17" s="22">
        <f t="shared" si="2"/>
        <v>1343.1999999999998</v>
      </c>
      <c r="T17" s="22">
        <f>SUM(T6:T8)</f>
        <v>1017.8000000000001</v>
      </c>
      <c r="U17" s="22">
        <f t="shared" si="2"/>
        <v>2890.5</v>
      </c>
      <c r="V17" s="22">
        <f t="shared" si="2"/>
        <v>1790.3</v>
      </c>
      <c r="W17" s="22">
        <f t="shared" si="2"/>
        <v>1071.4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</f>
        <v>31397.324</v>
      </c>
      <c r="D18" s="24">
        <f aca="true" t="shared" si="3" ref="D18:AA18">D19+D23+D29+D32+D33+D34+D35+D41+D45+D49+D52+D57+D63+D70+D75+D76+D80+D31+D66+D74+D72+D73+D77+D78+D79</f>
        <v>0</v>
      </c>
      <c r="E18" s="24">
        <f t="shared" si="3"/>
        <v>73.521</v>
      </c>
      <c r="F18" s="24">
        <f t="shared" si="3"/>
        <v>289.265</v>
      </c>
      <c r="G18" s="24">
        <f t="shared" si="3"/>
        <v>935.393</v>
      </c>
      <c r="H18" s="24">
        <f t="shared" si="3"/>
        <v>1125.5839999999998</v>
      </c>
      <c r="I18" s="24">
        <f t="shared" si="3"/>
        <v>383.358</v>
      </c>
      <c r="J18" s="24">
        <f t="shared" si="3"/>
        <v>1823.7400000000002</v>
      </c>
      <c r="K18" s="24">
        <f t="shared" si="3"/>
        <v>3074.685</v>
      </c>
      <c r="L18" s="24">
        <f t="shared" si="3"/>
        <v>1686.675</v>
      </c>
      <c r="M18" s="24">
        <f t="shared" si="3"/>
        <v>688.0709999999999</v>
      </c>
      <c r="N18" s="24">
        <f t="shared" si="3"/>
        <v>578.6790000000001</v>
      </c>
      <c r="O18" s="24">
        <f t="shared" si="3"/>
        <v>474.37199999999996</v>
      </c>
      <c r="P18" s="24">
        <f t="shared" si="3"/>
        <v>725.841</v>
      </c>
      <c r="Q18" s="24">
        <f t="shared" si="3"/>
        <v>859.31</v>
      </c>
      <c r="R18" s="24">
        <f t="shared" si="3"/>
        <v>392.6600000000001</v>
      </c>
      <c r="S18" s="24">
        <f t="shared" si="3"/>
        <v>959.634</v>
      </c>
      <c r="T18" s="24">
        <f t="shared" si="3"/>
        <v>6600.660000000002</v>
      </c>
      <c r="U18" s="24">
        <f t="shared" si="3"/>
        <v>2794.0899999999997</v>
      </c>
      <c r="V18" s="24">
        <f t="shared" si="3"/>
        <v>-12.836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23452.701999999997</v>
      </c>
      <c r="AB18" s="53">
        <f aca="true" t="shared" si="4" ref="AB18:AB84">AA18-C18</f>
        <v>-7944.622000000003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4024.4749999999995</v>
      </c>
      <c r="D19" s="18">
        <f t="shared" si="5"/>
        <v>0</v>
      </c>
      <c r="E19" s="18">
        <f t="shared" si="5"/>
        <v>4.54</v>
      </c>
      <c r="F19" s="18">
        <f t="shared" si="5"/>
        <v>76.56899999999999</v>
      </c>
      <c r="G19" s="18">
        <f t="shared" si="5"/>
        <v>9.909</v>
      </c>
      <c r="H19" s="18">
        <f t="shared" si="5"/>
        <v>7.647</v>
      </c>
      <c r="I19" s="18">
        <f t="shared" si="5"/>
        <v>127.46000000000001</v>
      </c>
      <c r="J19" s="18">
        <f t="shared" si="5"/>
        <v>26.544999999999998</v>
      </c>
      <c r="K19" s="18">
        <f t="shared" si="5"/>
        <v>758.214</v>
      </c>
      <c r="L19" s="18">
        <f t="shared" si="5"/>
        <v>509.25199999999995</v>
      </c>
      <c r="M19" s="18">
        <f t="shared" si="5"/>
        <v>20.133</v>
      </c>
      <c r="N19" s="18">
        <f t="shared" si="5"/>
        <v>0</v>
      </c>
      <c r="O19" s="18">
        <f t="shared" si="5"/>
        <v>39.689</v>
      </c>
      <c r="P19" s="18">
        <f t="shared" si="5"/>
        <v>17.954</v>
      </c>
      <c r="Q19" s="18">
        <f t="shared" si="5"/>
        <v>29.256999999999998</v>
      </c>
      <c r="R19" s="18">
        <f t="shared" si="5"/>
        <v>13.091000000000001</v>
      </c>
      <c r="S19" s="18">
        <f t="shared" si="5"/>
        <v>0</v>
      </c>
      <c r="T19" s="18">
        <f>SUM(T20:T22)</f>
        <v>318.41600000000005</v>
      </c>
      <c r="U19" s="18">
        <f t="shared" si="5"/>
        <v>1216.2959999999998</v>
      </c>
      <c r="V19" s="18">
        <f t="shared" si="5"/>
        <v>-1.589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3173.383</v>
      </c>
      <c r="AB19" s="53">
        <f t="shared" si="4"/>
        <v>-851.0919999999996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v>2985.997</v>
      </c>
      <c r="D20" s="7"/>
      <c r="E20" s="7"/>
      <c r="F20" s="7">
        <v>33.915</v>
      </c>
      <c r="G20" s="7"/>
      <c r="H20" s="7"/>
      <c r="I20" s="7"/>
      <c r="J20" s="8">
        <v>24.654</v>
      </c>
      <c r="K20" s="7">
        <v>741.2</v>
      </c>
      <c r="L20" s="7">
        <v>491.4</v>
      </c>
      <c r="M20" s="7"/>
      <c r="N20" s="7"/>
      <c r="O20" s="7"/>
      <c r="P20" s="7"/>
      <c r="Q20" s="7"/>
      <c r="R20" s="7"/>
      <c r="S20" s="7"/>
      <c r="T20" s="7">
        <v>284.634</v>
      </c>
      <c r="U20" s="7">
        <v>1053.999</v>
      </c>
      <c r="V20" s="8"/>
      <c r="W20" s="8"/>
      <c r="X20" s="8"/>
      <c r="Y20" s="7"/>
      <c r="Z20" s="7"/>
      <c r="AA20" s="7">
        <f>SUM(D20:Z20)</f>
        <v>2629.8019999999997</v>
      </c>
      <c r="AB20" s="87">
        <f t="shared" si="4"/>
        <v>-356.19500000000016</v>
      </c>
      <c r="AC20" s="85"/>
      <c r="AD20" s="84" t="s">
        <v>48</v>
      </c>
      <c r="AE20" s="86">
        <f>AA19</f>
        <v>3173.383</v>
      </c>
      <c r="AF20" s="83"/>
      <c r="AG20" s="83"/>
    </row>
    <row r="21" spans="2:33" ht="15.75">
      <c r="B21" s="3" t="s">
        <v>1</v>
      </c>
      <c r="C21" s="23">
        <v>404.086</v>
      </c>
      <c r="D21" s="7"/>
      <c r="E21" s="7"/>
      <c r="F21" s="7">
        <v>23.715</v>
      </c>
      <c r="G21" s="7"/>
      <c r="H21" s="7">
        <v>3.642</v>
      </c>
      <c r="I21" s="7">
        <v>36.364</v>
      </c>
      <c r="J21" s="8">
        <v>1.598</v>
      </c>
      <c r="K21" s="7"/>
      <c r="L21" s="7"/>
      <c r="M21" s="7">
        <v>18.238</v>
      </c>
      <c r="N21" s="7"/>
      <c r="O21" s="7"/>
      <c r="P21" s="7">
        <v>4.105</v>
      </c>
      <c r="Q21" s="7">
        <v>18.868</v>
      </c>
      <c r="R21" s="7">
        <v>2.656</v>
      </c>
      <c r="S21" s="7"/>
      <c r="T21" s="7">
        <v>11.997</v>
      </c>
      <c r="U21" s="7">
        <v>1.186</v>
      </c>
      <c r="V21" s="8"/>
      <c r="W21" s="8"/>
      <c r="X21" s="8"/>
      <c r="Y21" s="7"/>
      <c r="Z21" s="7"/>
      <c r="AA21" s="7">
        <f>SUM(D21:Z21)</f>
        <v>122.369</v>
      </c>
      <c r="AB21" s="87">
        <f t="shared" si="4"/>
        <v>-281.717</v>
      </c>
      <c r="AC21" s="85"/>
      <c r="AD21" s="84" t="s">
        <v>15</v>
      </c>
      <c r="AE21" s="86">
        <f>AA23</f>
        <v>10661.850999999999</v>
      </c>
      <c r="AF21" s="83"/>
      <c r="AG21" s="83"/>
    </row>
    <row r="22" spans="2:33" ht="15.75">
      <c r="B22" s="3" t="s">
        <v>5</v>
      </c>
      <c r="C22" s="23">
        <f>537.363+20+20-40+84+13.029</f>
        <v>634.392</v>
      </c>
      <c r="D22" s="7"/>
      <c r="E22" s="7">
        <v>4.54</v>
      </c>
      <c r="F22" s="7">
        <v>18.939</v>
      </c>
      <c r="G22" s="7">
        <v>9.909</v>
      </c>
      <c r="H22" s="7">
        <f>3.305+0.7</f>
        <v>4.005</v>
      </c>
      <c r="I22" s="7">
        <v>91.096</v>
      </c>
      <c r="J22" s="7">
        <v>0.293</v>
      </c>
      <c r="K22" s="7">
        <v>17.014</v>
      </c>
      <c r="L22" s="7">
        <v>17.852</v>
      </c>
      <c r="M22" s="7">
        <v>1.895</v>
      </c>
      <c r="N22" s="7"/>
      <c r="O22" s="7">
        <v>39.689</v>
      </c>
      <c r="P22" s="7">
        <v>13.849</v>
      </c>
      <c r="Q22" s="7">
        <v>10.389</v>
      </c>
      <c r="R22" s="7">
        <v>10.435</v>
      </c>
      <c r="S22" s="7"/>
      <c r="T22" s="7">
        <v>21.785</v>
      </c>
      <c r="U22" s="7">
        <v>161.111</v>
      </c>
      <c r="V22" s="7">
        <v>-1.589</v>
      </c>
      <c r="W22" s="7"/>
      <c r="X22" s="7"/>
      <c r="Y22" s="7"/>
      <c r="Z22" s="7"/>
      <c r="AA22" s="7">
        <f>SUM(D22:Z22)</f>
        <v>421.21200000000005</v>
      </c>
      <c r="AB22" s="87">
        <f t="shared" si="4"/>
        <v>-213.18</v>
      </c>
      <c r="AC22" s="85"/>
      <c r="AD22" s="84" t="s">
        <v>52</v>
      </c>
      <c r="AE22" s="86">
        <f>$AA$29+$AA$31</f>
        <v>345.916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15373.094000000001</v>
      </c>
      <c r="D23" s="18">
        <f t="shared" si="6"/>
        <v>0</v>
      </c>
      <c r="E23" s="18">
        <f t="shared" si="6"/>
        <v>19.088</v>
      </c>
      <c r="F23" s="18">
        <f t="shared" si="6"/>
        <v>0</v>
      </c>
      <c r="G23" s="18">
        <f t="shared" si="6"/>
        <v>193.97000000000003</v>
      </c>
      <c r="H23" s="18">
        <f t="shared" si="6"/>
        <v>232.826</v>
      </c>
      <c r="I23" s="18">
        <f t="shared" si="6"/>
        <v>0</v>
      </c>
      <c r="J23" s="18">
        <f t="shared" si="6"/>
        <v>1686.1580000000001</v>
      </c>
      <c r="K23" s="18">
        <f t="shared" si="6"/>
        <v>2200.066</v>
      </c>
      <c r="L23" s="18">
        <f t="shared" si="6"/>
        <v>297.789</v>
      </c>
      <c r="M23" s="18">
        <f t="shared" si="6"/>
        <v>19.360999999999997</v>
      </c>
      <c r="N23" s="18">
        <f t="shared" si="6"/>
        <v>91.47200000000001</v>
      </c>
      <c r="O23" s="18">
        <f t="shared" si="6"/>
        <v>0</v>
      </c>
      <c r="P23" s="18">
        <f t="shared" si="6"/>
        <v>371.791</v>
      </c>
      <c r="Q23" s="18">
        <f t="shared" si="6"/>
        <v>102.52900000000001</v>
      </c>
      <c r="R23" s="18">
        <f t="shared" si="6"/>
        <v>40.142</v>
      </c>
      <c r="S23" s="18">
        <f t="shared" si="6"/>
        <v>0</v>
      </c>
      <c r="T23" s="18">
        <f>SUM(T24:T28)</f>
        <v>5207.509999999999</v>
      </c>
      <c r="U23" s="18">
        <f>SUM(U24:U28)</f>
        <v>199.149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10661.850999999999</v>
      </c>
      <c r="AB23" s="87">
        <f t="shared" si="4"/>
        <v>-4711.243000000002</v>
      </c>
      <c r="AC23" s="82"/>
      <c r="AD23" s="84" t="s">
        <v>16</v>
      </c>
      <c r="AE23" s="86">
        <f>$AA$32+$AA$33+$AA$35+$AA$41+$AA$45+$AA$34</f>
        <v>1302.183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v>11153.646</v>
      </c>
      <c r="D24" s="7"/>
      <c r="E24" s="7"/>
      <c r="F24" s="7"/>
      <c r="G24" s="7"/>
      <c r="H24" s="7"/>
      <c r="I24" s="7"/>
      <c r="J24" s="8">
        <f>450.862+803.221</f>
        <v>1254.083</v>
      </c>
      <c r="K24" s="7">
        <f>1162.33+728.948</f>
        <v>1891.2779999999998</v>
      </c>
      <c r="L24" s="7">
        <v>215.383</v>
      </c>
      <c r="M24" s="7">
        <f>3.55+14.1</f>
        <v>17.65</v>
      </c>
      <c r="N24" s="7"/>
      <c r="O24" s="7"/>
      <c r="P24" s="7"/>
      <c r="Q24" s="7"/>
      <c r="R24" s="25"/>
      <c r="S24" s="7"/>
      <c r="T24" s="7">
        <f>2601.696+2073.066</f>
        <v>4674.762</v>
      </c>
      <c r="U24" s="7"/>
      <c r="V24" s="8"/>
      <c r="W24" s="8"/>
      <c r="X24" s="8"/>
      <c r="Y24" s="7"/>
      <c r="Z24" s="7"/>
      <c r="AA24" s="7">
        <f>SUM(D24:Z24)</f>
        <v>8053.155999999999</v>
      </c>
      <c r="AB24" s="87">
        <f t="shared" si="4"/>
        <v>-3100.4900000000016</v>
      </c>
      <c r="AC24" s="85"/>
      <c r="AD24" s="84" t="s">
        <v>17</v>
      </c>
      <c r="AE24" s="86">
        <f>$AA$63+$AA$66+AA73</f>
        <v>2103.893</v>
      </c>
      <c r="AF24" s="83"/>
      <c r="AG24" s="83"/>
    </row>
    <row r="25" spans="2:33" ht="15.75">
      <c r="B25" s="3" t="s">
        <v>2</v>
      </c>
      <c r="C25" s="23">
        <v>12.302</v>
      </c>
      <c r="D25" s="7"/>
      <c r="E25" s="7"/>
      <c r="F25" s="7"/>
      <c r="G25" s="7"/>
      <c r="H25" s="7">
        <v>0.23</v>
      </c>
      <c r="I25" s="7"/>
      <c r="J25" s="8"/>
      <c r="K25" s="7"/>
      <c r="L25" s="7"/>
      <c r="M25" s="7"/>
      <c r="N25" s="7">
        <v>0.999</v>
      </c>
      <c r="O25" s="7"/>
      <c r="P25" s="7">
        <v>0.854</v>
      </c>
      <c r="Q25" s="7">
        <v>1.499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3.5820000000000003</v>
      </c>
      <c r="AB25" s="87">
        <f t="shared" si="4"/>
        <v>-8.719999999999999</v>
      </c>
      <c r="AC25" s="85"/>
      <c r="AD25" s="84" t="s">
        <v>18</v>
      </c>
      <c r="AE25" s="86">
        <f>$AA$52</f>
        <v>686.818</v>
      </c>
      <c r="AF25" s="83"/>
      <c r="AG25" s="83"/>
    </row>
    <row r="26" spans="2:33" ht="15.75">
      <c r="B26" s="3" t="s">
        <v>0</v>
      </c>
      <c r="C26" s="23">
        <v>801.302</v>
      </c>
      <c r="D26" s="7"/>
      <c r="E26" s="7"/>
      <c r="F26" s="7"/>
      <c r="G26" s="7">
        <v>30.869</v>
      </c>
      <c r="H26" s="7">
        <v>63.172</v>
      </c>
      <c r="I26" s="7"/>
      <c r="J26" s="8">
        <v>45.738</v>
      </c>
      <c r="K26" s="7">
        <v>85.613</v>
      </c>
      <c r="L26" s="7">
        <v>73.709</v>
      </c>
      <c r="M26" s="7"/>
      <c r="N26" s="7">
        <v>49.159</v>
      </c>
      <c r="O26" s="7"/>
      <c r="P26" s="7">
        <v>21.526</v>
      </c>
      <c r="Q26" s="7">
        <v>30.032</v>
      </c>
      <c r="R26" s="25">
        <v>8.794</v>
      </c>
      <c r="S26" s="7"/>
      <c r="T26" s="7">
        <v>150.326</v>
      </c>
      <c r="U26" s="7"/>
      <c r="V26" s="8"/>
      <c r="W26" s="8"/>
      <c r="X26" s="8"/>
      <c r="Y26" s="7"/>
      <c r="Z26" s="7"/>
      <c r="AA26" s="7">
        <f>SUM(D26:Z26)</f>
        <v>558.938</v>
      </c>
      <c r="AB26" s="87">
        <f t="shared" si="4"/>
        <v>-242.36400000000003</v>
      </c>
      <c r="AC26" s="85"/>
      <c r="AD26" s="84" t="s">
        <v>19</v>
      </c>
      <c r="AE26" s="86">
        <f>$AA$57</f>
        <v>451.067</v>
      </c>
      <c r="AF26" s="83"/>
      <c r="AG26" s="83"/>
    </row>
    <row r="27" spans="2:33" ht="15.75">
      <c r="B27" s="3" t="s">
        <v>1</v>
      </c>
      <c r="C27" s="23">
        <v>2208.018</v>
      </c>
      <c r="D27" s="7"/>
      <c r="E27" s="7"/>
      <c r="F27" s="7"/>
      <c r="G27" s="7">
        <v>118.926</v>
      </c>
      <c r="H27" s="7">
        <v>150.316</v>
      </c>
      <c r="I27" s="7"/>
      <c r="J27" s="8">
        <v>354.235</v>
      </c>
      <c r="K27" s="7">
        <v>215</v>
      </c>
      <c r="L27" s="7"/>
      <c r="M27" s="7"/>
      <c r="N27" s="7">
        <v>1.914</v>
      </c>
      <c r="O27" s="7"/>
      <c r="P27" s="7">
        <v>344.71</v>
      </c>
      <c r="Q27" s="7">
        <v>60.774</v>
      </c>
      <c r="R27" s="25">
        <v>25.023</v>
      </c>
      <c r="S27" s="7"/>
      <c r="T27" s="7">
        <v>252.355</v>
      </c>
      <c r="U27" s="7">
        <v>0.086</v>
      </c>
      <c r="V27" s="8"/>
      <c r="W27" s="8"/>
      <c r="X27" s="8"/>
      <c r="Y27" s="7"/>
      <c r="Z27" s="7"/>
      <c r="AA27" s="7">
        <f>SUM(D27:Z27)</f>
        <v>1523.339</v>
      </c>
      <c r="AB27" s="87">
        <f t="shared" si="4"/>
        <v>-684.6790000000001</v>
      </c>
      <c r="AC27" s="85"/>
      <c r="AD27" s="84" t="s">
        <v>20</v>
      </c>
      <c r="AE27" s="86">
        <f>$AA$49+$AA$70+$AA$75+$AA$76+$AA$80+$AA$72+$AA$74+$AA$77+$AA$78+$AA$79</f>
        <v>4727.591</v>
      </c>
      <c r="AF27" s="83"/>
      <c r="AG27" s="83"/>
    </row>
    <row r="28" spans="2:33" ht="15.75">
      <c r="B28" s="3" t="s">
        <v>5</v>
      </c>
      <c r="C28" s="23">
        <f>1176.826+4+17</f>
        <v>1197.826</v>
      </c>
      <c r="D28" s="7"/>
      <c r="E28" s="7">
        <v>19.088</v>
      </c>
      <c r="F28" s="7"/>
      <c r="G28" s="7">
        <v>44.175</v>
      </c>
      <c r="H28" s="7">
        <v>19.108</v>
      </c>
      <c r="I28" s="7"/>
      <c r="J28" s="7">
        <v>32.102</v>
      </c>
      <c r="K28" s="7">
        <v>8.175</v>
      </c>
      <c r="L28" s="7">
        <v>8.697</v>
      </c>
      <c r="M28" s="7">
        <v>1.711</v>
      </c>
      <c r="N28" s="7">
        <v>39.4</v>
      </c>
      <c r="O28" s="7"/>
      <c r="P28" s="7">
        <v>4.701</v>
      </c>
      <c r="Q28" s="7">
        <v>10.224</v>
      </c>
      <c r="R28" s="7">
        <v>6.325</v>
      </c>
      <c r="S28" s="7"/>
      <c r="T28" s="7">
        <v>130.067</v>
      </c>
      <c r="U28" s="7">
        <v>199.063</v>
      </c>
      <c r="V28" s="7"/>
      <c r="W28" s="7"/>
      <c r="X28" s="7"/>
      <c r="Y28" s="7"/>
      <c r="Z28" s="7"/>
      <c r="AA28" s="7">
        <f>SUM(D28:Z28)</f>
        <v>522.836</v>
      </c>
      <c r="AB28" s="87">
        <f t="shared" si="4"/>
        <v>-674.99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1231.108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25.254</v>
      </c>
      <c r="K29" s="18">
        <f t="shared" si="7"/>
        <v>0</v>
      </c>
      <c r="L29" s="18">
        <f t="shared" si="7"/>
        <v>0</v>
      </c>
      <c r="M29" s="18">
        <f t="shared" si="7"/>
        <v>31.253</v>
      </c>
      <c r="N29" s="18">
        <f t="shared" si="7"/>
        <v>0</v>
      </c>
      <c r="O29" s="18">
        <f t="shared" si="7"/>
        <v>0</v>
      </c>
      <c r="P29" s="18">
        <f t="shared" si="7"/>
        <v>98.274</v>
      </c>
      <c r="Q29" s="18">
        <f t="shared" si="7"/>
        <v>0</v>
      </c>
      <c r="R29" s="18">
        <f t="shared" si="7"/>
        <v>0</v>
      </c>
      <c r="S29" s="18">
        <f t="shared" si="7"/>
        <v>100.661</v>
      </c>
      <c r="T29" s="18">
        <f t="shared" si="7"/>
        <v>86.779</v>
      </c>
      <c r="U29" s="18">
        <f t="shared" si="7"/>
        <v>3.695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345.916</v>
      </c>
      <c r="AB29" s="87">
        <f t="shared" si="4"/>
        <v>-885.192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1062.108+100+69</f>
        <v>1231.108</v>
      </c>
      <c r="D30" s="8"/>
      <c r="E30" s="8"/>
      <c r="F30" s="8"/>
      <c r="G30" s="8"/>
      <c r="H30" s="8"/>
      <c r="I30" s="8"/>
      <c r="J30" s="8">
        <v>25.254</v>
      </c>
      <c r="K30" s="8"/>
      <c r="L30" s="8"/>
      <c r="M30" s="8">
        <v>31.253</v>
      </c>
      <c r="N30" s="8"/>
      <c r="O30" s="8"/>
      <c r="P30" s="8">
        <v>98.274</v>
      </c>
      <c r="Q30" s="8"/>
      <c r="R30" s="8"/>
      <c r="S30" s="8">
        <v>100.661</v>
      </c>
      <c r="T30" s="8">
        <v>86.779</v>
      </c>
      <c r="U30" s="8">
        <v>3.695</v>
      </c>
      <c r="V30" s="8"/>
      <c r="W30" s="8"/>
      <c r="X30" s="8"/>
      <c r="Y30" s="27"/>
      <c r="Z30" s="27"/>
      <c r="AA30" s="7">
        <f>SUM(D30:Z30)</f>
        <v>345.916</v>
      </c>
      <c r="AB30" s="53">
        <f t="shared" si="4"/>
        <v>-885.192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f>499.286+100.9+13.345</f>
        <v>613.5310000000001</v>
      </c>
      <c r="D32" s="18"/>
      <c r="E32" s="18"/>
      <c r="F32" s="18"/>
      <c r="G32" s="18">
        <v>9.973</v>
      </c>
      <c r="H32" s="18"/>
      <c r="I32" s="18"/>
      <c r="J32" s="18">
        <v>7.263</v>
      </c>
      <c r="K32" s="18"/>
      <c r="L32" s="18"/>
      <c r="M32" s="18">
        <v>8.958</v>
      </c>
      <c r="N32" s="18"/>
      <c r="O32" s="18"/>
      <c r="P32" s="18">
        <v>-1</v>
      </c>
      <c r="Q32" s="18">
        <v>146.7</v>
      </c>
      <c r="R32" s="18">
        <v>164.699</v>
      </c>
      <c r="S32" s="18"/>
      <c r="T32" s="18">
        <v>2.019</v>
      </c>
      <c r="U32" s="60"/>
      <c r="V32" s="60"/>
      <c r="W32" s="60"/>
      <c r="X32" s="18"/>
      <c r="Y32" s="18"/>
      <c r="Z32" s="18"/>
      <c r="AA32" s="18">
        <f>SUM(D32:Z32)</f>
        <v>338.612</v>
      </c>
      <c r="AB32" s="53">
        <f t="shared" si="4"/>
        <v>-274.91900000000004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424.503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>
        <v>111.985</v>
      </c>
      <c r="V33" s="18"/>
      <c r="W33" s="18"/>
      <c r="X33" s="18"/>
      <c r="Y33" s="18"/>
      <c r="Z33" s="18"/>
      <c r="AA33" s="18">
        <f>SUM(D33:Z33)</f>
        <v>111.985</v>
      </c>
      <c r="AB33" s="53">
        <f t="shared" si="4"/>
        <v>-312.518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85</v>
      </c>
      <c r="D34" s="18"/>
      <c r="E34" s="18"/>
      <c r="F34" s="18"/>
      <c r="G34" s="18"/>
      <c r="H34" s="18">
        <v>56.648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56.648</v>
      </c>
      <c r="AB34" s="53">
        <f t="shared" si="4"/>
        <v>-28.351999999999997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600.3190000000001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32.014</v>
      </c>
      <c r="H35" s="18">
        <f t="shared" si="8"/>
        <v>0</v>
      </c>
      <c r="I35" s="18">
        <f t="shared" si="8"/>
        <v>0</v>
      </c>
      <c r="J35" s="18">
        <f t="shared" si="8"/>
        <v>2.823</v>
      </c>
      <c r="K35" s="18">
        <f t="shared" si="8"/>
        <v>0</v>
      </c>
      <c r="L35" s="18">
        <f t="shared" si="8"/>
        <v>186.609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9.623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313.93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544.999</v>
      </c>
      <c r="AB35" s="53">
        <f t="shared" si="4"/>
        <v>-55.32000000000005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522.851</v>
      </c>
      <c r="D36" s="7"/>
      <c r="E36" s="7"/>
      <c r="F36" s="7"/>
      <c r="G36" s="7"/>
      <c r="H36" s="7"/>
      <c r="I36" s="7"/>
      <c r="J36" s="8"/>
      <c r="K36" s="7"/>
      <c r="L36" s="7">
        <v>186.609</v>
      </c>
      <c r="M36" s="7"/>
      <c r="N36" s="7"/>
      <c r="O36" s="7"/>
      <c r="P36" s="25"/>
      <c r="Q36" s="7"/>
      <c r="R36" s="25"/>
      <c r="S36" s="7"/>
      <c r="T36" s="7"/>
      <c r="U36" s="7">
        <v>310.665</v>
      </c>
      <c r="V36" s="8"/>
      <c r="W36" s="8"/>
      <c r="X36" s="7"/>
      <c r="Y36" s="7"/>
      <c r="Z36" s="7"/>
      <c r="AA36" s="7">
        <f>SUM(D36:Z36)</f>
        <v>497.274</v>
      </c>
      <c r="AB36" s="53">
        <f t="shared" si="4"/>
        <v>-25.576999999999998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1.811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-1.811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>
        <v>3.3</v>
      </c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54.417</v>
      </c>
      <c r="D39" s="7"/>
      <c r="E39" s="7"/>
      <c r="F39" s="7"/>
      <c r="G39" s="7">
        <v>28.823</v>
      </c>
      <c r="H39" s="7"/>
      <c r="I39" s="7"/>
      <c r="J39" s="7"/>
      <c r="K39" s="7"/>
      <c r="L39" s="7"/>
      <c r="M39" s="7"/>
      <c r="N39" s="7"/>
      <c r="O39" s="7"/>
      <c r="P39" s="25">
        <v>4.153</v>
      </c>
      <c r="Q39" s="7"/>
      <c r="R39" s="25"/>
      <c r="S39" s="7"/>
      <c r="T39" s="7"/>
      <c r="U39" s="7">
        <v>3.265</v>
      </c>
      <c r="V39" s="8"/>
      <c r="W39" s="8"/>
      <c r="X39" s="7"/>
      <c r="Y39" s="7"/>
      <c r="Z39" s="7"/>
      <c r="AA39" s="7">
        <f>SUM(D39:Z39)</f>
        <v>36.241</v>
      </c>
      <c r="AB39" s="53">
        <f t="shared" si="4"/>
        <v>-18.176000000000002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8.64+9.3</f>
        <v>17.94</v>
      </c>
      <c r="D40" s="7"/>
      <c r="E40" s="7"/>
      <c r="F40" s="7"/>
      <c r="G40" s="7">
        <v>3.191</v>
      </c>
      <c r="H40" s="7"/>
      <c r="I40" s="7"/>
      <c r="J40" s="7">
        <v>2.823</v>
      </c>
      <c r="K40" s="7"/>
      <c r="L40" s="7"/>
      <c r="M40" s="7"/>
      <c r="N40" s="7"/>
      <c r="O40" s="7"/>
      <c r="P40" s="7">
        <v>2.17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8.184</v>
      </c>
      <c r="AB40" s="53">
        <f t="shared" si="4"/>
        <v>-9.756000000000002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300.59499999999997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72.85799999999999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1.066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98.871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172.795</v>
      </c>
      <c r="AB41" s="53">
        <f t="shared" si="4"/>
        <v>-127.79999999999998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f>223.863+41.4</f>
        <v>265.263</v>
      </c>
      <c r="D42" s="7"/>
      <c r="E42" s="7"/>
      <c r="F42" s="7"/>
      <c r="G42" s="7"/>
      <c r="H42" s="7"/>
      <c r="I42" s="7"/>
      <c r="J42" s="8"/>
      <c r="K42" s="7">
        <f>8+50.885</f>
        <v>58.885</v>
      </c>
      <c r="L42" s="7"/>
      <c r="M42" s="7"/>
      <c r="N42" s="7"/>
      <c r="O42" s="7"/>
      <c r="P42" s="25"/>
      <c r="Q42" s="7"/>
      <c r="R42" s="25"/>
      <c r="S42" s="7"/>
      <c r="T42" s="7">
        <f>69.631+29.24</f>
        <v>98.871</v>
      </c>
      <c r="U42" s="7"/>
      <c r="V42" s="8"/>
      <c r="W42" s="8"/>
      <c r="X42" s="7"/>
      <c r="Y42" s="7"/>
      <c r="Z42" s="7"/>
      <c r="AA42" s="7">
        <f>SUM(D42:Z42)</f>
        <v>157.756</v>
      </c>
      <c r="AB42" s="53">
        <f t="shared" si="4"/>
        <v>-107.50699999999998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26.514</v>
      </c>
      <c r="D43" s="7"/>
      <c r="E43" s="7"/>
      <c r="F43" s="7"/>
      <c r="G43" s="7"/>
      <c r="H43" s="7"/>
      <c r="I43" s="7"/>
      <c r="J43" s="8"/>
      <c r="K43" s="7">
        <v>11.266</v>
      </c>
      <c r="L43" s="7"/>
      <c r="M43" s="7"/>
      <c r="N43" s="7"/>
      <c r="O43" s="7">
        <v>1.066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12.332</v>
      </c>
      <c r="AB43" s="53">
        <f t="shared" si="4"/>
        <v>-14.181999999999999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8.818</v>
      </c>
      <c r="D44" s="7"/>
      <c r="E44" s="7"/>
      <c r="F44" s="7"/>
      <c r="G44" s="7"/>
      <c r="H44" s="7"/>
      <c r="I44" s="7"/>
      <c r="J44" s="7"/>
      <c r="K44" s="7">
        <v>2.707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2.707</v>
      </c>
      <c r="AB44" s="53">
        <f t="shared" si="4"/>
        <v>-6.111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177.925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36.564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4.919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35.661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77.144</v>
      </c>
      <c r="AB45" s="53">
        <f t="shared" si="4"/>
        <v>-100.781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162.037</v>
      </c>
      <c r="D46" s="7"/>
      <c r="E46" s="7"/>
      <c r="F46" s="7"/>
      <c r="G46" s="7"/>
      <c r="H46" s="7"/>
      <c r="I46" s="7"/>
      <c r="J46" s="8">
        <v>33.189</v>
      </c>
      <c r="K46" s="7"/>
      <c r="L46" s="7"/>
      <c r="M46" s="7"/>
      <c r="N46" s="7"/>
      <c r="O46" s="7"/>
      <c r="P46" s="7"/>
      <c r="Q46" s="7"/>
      <c r="R46" s="25"/>
      <c r="S46" s="7"/>
      <c r="T46" s="7">
        <v>35.661</v>
      </c>
      <c r="U46" s="7"/>
      <c r="V46" s="8"/>
      <c r="W46" s="8"/>
      <c r="X46" s="8"/>
      <c r="Y46" s="8"/>
      <c r="Z46" s="8"/>
      <c r="AA46" s="7">
        <f>SUM(D46:Z46)</f>
        <v>68.85</v>
      </c>
      <c r="AB46" s="53">
        <f t="shared" si="4"/>
        <v>-93.18700000000001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8.028</v>
      </c>
      <c r="D47" s="7"/>
      <c r="E47" s="7"/>
      <c r="F47" s="7"/>
      <c r="G47" s="7"/>
      <c r="H47" s="7"/>
      <c r="I47" s="7"/>
      <c r="J47" s="8">
        <v>3.078</v>
      </c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3.078</v>
      </c>
      <c r="AB47" s="53">
        <f t="shared" si="4"/>
        <v>-4.950000000000001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7.86</v>
      </c>
      <c r="D48" s="7"/>
      <c r="E48" s="7"/>
      <c r="F48" s="7"/>
      <c r="G48" s="7"/>
      <c r="H48" s="7"/>
      <c r="I48" s="7"/>
      <c r="J48" s="7">
        <v>0.297</v>
      </c>
      <c r="K48" s="7"/>
      <c r="L48" s="7"/>
      <c r="M48" s="7"/>
      <c r="N48" s="7"/>
      <c r="O48" s="7"/>
      <c r="P48" s="7">
        <v>4.919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5.215999999999999</v>
      </c>
      <c r="AB48" s="53">
        <f t="shared" si="4"/>
        <v>-2.644000000000001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31.877</v>
      </c>
      <c r="D49" s="18">
        <f aca="true" t="shared" si="13" ref="D49:Y49">D50+D51</f>
        <v>0</v>
      </c>
      <c r="E49" s="18">
        <f t="shared" si="13"/>
        <v>5.028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1.4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5.7780000000000005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12.206</v>
      </c>
      <c r="AB49" s="53">
        <f t="shared" si="4"/>
        <v>-19.671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11.677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1.4</v>
      </c>
      <c r="O50" s="8"/>
      <c r="P50" s="8"/>
      <c r="Q50" s="8"/>
      <c r="R50" s="8"/>
      <c r="S50" s="8"/>
      <c r="T50" s="8"/>
      <c r="U50" s="8">
        <v>3.837</v>
      </c>
      <c r="V50" s="8"/>
      <c r="W50" s="8"/>
      <c r="X50" s="8"/>
      <c r="Y50" s="8"/>
      <c r="Z50" s="8"/>
      <c r="AA50" s="7">
        <f>SUM(D50:Z50)</f>
        <v>5.237</v>
      </c>
      <c r="AB50" s="53">
        <f t="shared" si="4"/>
        <v>-6.4399999999999995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20.2</v>
      </c>
      <c r="D51" s="8"/>
      <c r="E51" s="8">
        <v>5.028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1.941</v>
      </c>
      <c r="V51" s="8"/>
      <c r="W51" s="8"/>
      <c r="X51" s="8"/>
      <c r="Y51" s="8"/>
      <c r="Z51" s="8"/>
      <c r="AA51" s="7">
        <f>SUM(D51:Z51)</f>
        <v>6.968999999999999</v>
      </c>
      <c r="AB51" s="53">
        <f t="shared" si="4"/>
        <v>-13.231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1089.8780000000002</v>
      </c>
      <c r="D52" s="18">
        <f t="shared" si="14"/>
        <v>0</v>
      </c>
      <c r="E52" s="18">
        <f t="shared" si="14"/>
        <v>36.028</v>
      </c>
      <c r="F52" s="18">
        <f t="shared" si="14"/>
        <v>20.828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13.734</v>
      </c>
      <c r="K52" s="18">
        <f t="shared" si="14"/>
        <v>0</v>
      </c>
      <c r="L52" s="18">
        <f t="shared" si="14"/>
        <v>204.195</v>
      </c>
      <c r="M52" s="18">
        <f t="shared" si="14"/>
        <v>1</v>
      </c>
      <c r="N52" s="18">
        <f t="shared" si="14"/>
        <v>0</v>
      </c>
      <c r="O52" s="18">
        <f t="shared" si="14"/>
        <v>24.795</v>
      </c>
      <c r="P52" s="18">
        <f t="shared" si="14"/>
        <v>95.103</v>
      </c>
      <c r="Q52" s="18">
        <f t="shared" si="14"/>
        <v>17.673</v>
      </c>
      <c r="R52" s="18">
        <f t="shared" si="14"/>
        <v>0</v>
      </c>
      <c r="S52" s="18">
        <f t="shared" si="14"/>
        <v>136.972</v>
      </c>
      <c r="T52" s="18">
        <f>SUM(T53:T56)</f>
        <v>0.278</v>
      </c>
      <c r="U52" s="18">
        <f t="shared" si="14"/>
        <v>136.212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686.818</v>
      </c>
      <c r="AB52" s="53">
        <f t="shared" si="4"/>
        <v>-403.0600000000002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561.494</v>
      </c>
      <c r="D53" s="7"/>
      <c r="E53" s="7"/>
      <c r="F53" s="7">
        <v>20.828</v>
      </c>
      <c r="G53" s="7"/>
      <c r="H53" s="7"/>
      <c r="I53" s="7"/>
      <c r="J53" s="8">
        <v>11.748</v>
      </c>
      <c r="K53" s="7"/>
      <c r="L53" s="7">
        <v>138.775</v>
      </c>
      <c r="M53" s="7"/>
      <c r="N53" s="7"/>
      <c r="O53" s="7"/>
      <c r="P53" s="25"/>
      <c r="Q53" s="7"/>
      <c r="R53" s="25"/>
      <c r="S53" s="7">
        <v>136.972</v>
      </c>
      <c r="T53" s="7"/>
      <c r="U53" s="7">
        <v>135.012</v>
      </c>
      <c r="V53" s="8"/>
      <c r="W53" s="8"/>
      <c r="X53" s="8"/>
      <c r="Y53" s="7"/>
      <c r="Z53" s="7"/>
      <c r="AA53" s="7">
        <f>SUM(D53:Z53)</f>
        <v>443.335</v>
      </c>
      <c r="AB53" s="53">
        <f t="shared" si="4"/>
        <v>-118.15900000000005</v>
      </c>
    </row>
    <row r="54" spans="2:28" ht="15.75">
      <c r="B54" s="3" t="s">
        <v>1</v>
      </c>
      <c r="C54" s="23">
        <v>200.48</v>
      </c>
      <c r="D54" s="7"/>
      <c r="E54" s="7">
        <v>36.028</v>
      </c>
      <c r="F54" s="7"/>
      <c r="G54" s="7"/>
      <c r="H54" s="7"/>
      <c r="I54" s="7"/>
      <c r="J54" s="8">
        <v>1.34</v>
      </c>
      <c r="K54" s="7"/>
      <c r="L54" s="7">
        <v>63.48</v>
      </c>
      <c r="M54" s="7"/>
      <c r="N54" s="7"/>
      <c r="O54" s="7">
        <v>8.615</v>
      </c>
      <c r="P54" s="25">
        <v>0.103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109.56599999999999</v>
      </c>
      <c r="AB54" s="53">
        <f t="shared" si="4"/>
        <v>-90.914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>
        <v>1.2</v>
      </c>
      <c r="V55" s="8"/>
      <c r="W55" s="8"/>
      <c r="X55" s="8"/>
      <c r="Y55" s="7"/>
      <c r="Z55" s="7"/>
      <c r="AA55" s="7">
        <f>SUM(D55:Z55)</f>
        <v>1.2</v>
      </c>
      <c r="AB55" s="53">
        <f t="shared" si="4"/>
        <v>-5.42</v>
      </c>
    </row>
    <row r="56" spans="2:29" ht="15.75">
      <c r="B56" s="3" t="s">
        <v>5</v>
      </c>
      <c r="C56" s="23">
        <f>185.104+8.84+15+8.5+95+8.84</f>
        <v>321.284</v>
      </c>
      <c r="D56" s="7"/>
      <c r="E56" s="7"/>
      <c r="F56" s="7"/>
      <c r="G56" s="7"/>
      <c r="H56" s="7"/>
      <c r="I56" s="7"/>
      <c r="J56" s="7">
        <v>0.646</v>
      </c>
      <c r="K56" s="7"/>
      <c r="L56" s="7">
        <v>1.94</v>
      </c>
      <c r="M56" s="7">
        <v>1</v>
      </c>
      <c r="N56" s="7"/>
      <c r="O56" s="7">
        <v>16.18</v>
      </c>
      <c r="P56" s="7">
        <v>95</v>
      </c>
      <c r="Q56" s="7">
        <v>17.673</v>
      </c>
      <c r="R56" s="7"/>
      <c r="S56" s="7"/>
      <c r="T56" s="7">
        <v>0.278</v>
      </c>
      <c r="U56" s="7"/>
      <c r="V56" s="7"/>
      <c r="W56" s="7"/>
      <c r="X56" s="7"/>
      <c r="Y56" s="7"/>
      <c r="Z56" s="7"/>
      <c r="AA56" s="7">
        <f>SUM(D56:Z56)</f>
        <v>132.71699999999998</v>
      </c>
      <c r="AB56" s="53">
        <f t="shared" si="4"/>
        <v>-188.567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719.403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10.149000000000001</v>
      </c>
      <c r="G57" s="18">
        <f t="shared" si="15"/>
        <v>10.032</v>
      </c>
      <c r="H57" s="18">
        <f t="shared" si="15"/>
        <v>0</v>
      </c>
      <c r="I57" s="18">
        <f t="shared" si="15"/>
        <v>7.907</v>
      </c>
      <c r="J57" s="18">
        <f t="shared" si="15"/>
        <v>0</v>
      </c>
      <c r="K57" s="18">
        <f t="shared" si="15"/>
        <v>0</v>
      </c>
      <c r="L57" s="18">
        <f t="shared" si="15"/>
        <v>110.684</v>
      </c>
      <c r="M57" s="18">
        <f t="shared" si="15"/>
        <v>0</v>
      </c>
      <c r="N57" s="18">
        <f t="shared" si="15"/>
        <v>0</v>
      </c>
      <c r="O57" s="18">
        <f t="shared" si="15"/>
        <v>3.111</v>
      </c>
      <c r="P57" s="18">
        <f t="shared" si="15"/>
        <v>0</v>
      </c>
      <c r="Q57" s="18">
        <f t="shared" si="15"/>
        <v>11.492</v>
      </c>
      <c r="R57" s="18">
        <f t="shared" si="15"/>
        <v>0</v>
      </c>
      <c r="S57" s="18">
        <f t="shared" si="15"/>
        <v>71.208</v>
      </c>
      <c r="T57" s="18">
        <f>SUM(T58:T62)</f>
        <v>14.895</v>
      </c>
      <c r="U57" s="18">
        <f>SUM(U58:U62)</f>
        <v>211.58899999999997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451.067</v>
      </c>
      <c r="AB57" s="53">
        <f t="shared" si="4"/>
        <v>-268.336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393.93</v>
      </c>
      <c r="D58" s="7"/>
      <c r="E58" s="7"/>
      <c r="F58" s="7">
        <v>2.153</v>
      </c>
      <c r="G58" s="7"/>
      <c r="H58" s="7"/>
      <c r="I58" s="7"/>
      <c r="J58" s="25"/>
      <c r="K58" s="7"/>
      <c r="L58" s="7">
        <v>97.818</v>
      </c>
      <c r="M58" s="7"/>
      <c r="N58" s="7"/>
      <c r="O58" s="7"/>
      <c r="P58" s="25"/>
      <c r="Q58" s="7"/>
      <c r="R58" s="25"/>
      <c r="S58" s="7"/>
      <c r="T58" s="7"/>
      <c r="U58" s="7">
        <v>172.688</v>
      </c>
      <c r="V58" s="8"/>
      <c r="W58" s="8"/>
      <c r="X58" s="7"/>
      <c r="Y58" s="7"/>
      <c r="Z58" s="7"/>
      <c r="AA58" s="7">
        <f>SUM(D58:Z58)</f>
        <v>272.659</v>
      </c>
      <c r="AB58" s="53">
        <f t="shared" si="4"/>
        <v>-121.27100000000002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.75">
      <c r="B60" s="3" t="s">
        <v>1</v>
      </c>
      <c r="C60" s="23">
        <v>57.017</v>
      </c>
      <c r="D60" s="7"/>
      <c r="E60" s="7"/>
      <c r="F60" s="7"/>
      <c r="G60" s="7">
        <v>10.032</v>
      </c>
      <c r="H60" s="7"/>
      <c r="I60" s="7"/>
      <c r="J60" s="8"/>
      <c r="K60" s="7"/>
      <c r="L60" s="7">
        <v>3.988</v>
      </c>
      <c r="M60" s="7"/>
      <c r="N60" s="7"/>
      <c r="O60" s="7">
        <v>3.111</v>
      </c>
      <c r="P60" s="25"/>
      <c r="Q60" s="7">
        <v>5.65</v>
      </c>
      <c r="R60" s="7"/>
      <c r="S60" s="7"/>
      <c r="T60" s="7"/>
      <c r="U60" s="7">
        <v>0.682</v>
      </c>
      <c r="V60" s="8"/>
      <c r="W60" s="8"/>
      <c r="X60" s="7"/>
      <c r="Y60" s="7"/>
      <c r="Z60" s="7"/>
      <c r="AA60" s="7">
        <f>SUM(D60:Z60)</f>
        <v>23.462999999999997</v>
      </c>
      <c r="AB60" s="53">
        <f t="shared" si="4"/>
        <v>-33.554</v>
      </c>
    </row>
    <row r="61" spans="2:28" ht="15.75">
      <c r="B61" s="3" t="s">
        <v>10</v>
      </c>
      <c r="C61" s="23">
        <f>24.863+17.6</f>
        <v>42.463</v>
      </c>
      <c r="D61" s="7"/>
      <c r="E61" s="7"/>
      <c r="F61" s="7"/>
      <c r="G61" s="7"/>
      <c r="H61" s="7"/>
      <c r="I61" s="7">
        <v>7.907</v>
      </c>
      <c r="J61" s="8"/>
      <c r="K61" s="7"/>
      <c r="L61" s="7"/>
      <c r="M61" s="7"/>
      <c r="N61" s="7"/>
      <c r="O61" s="7"/>
      <c r="P61" s="7"/>
      <c r="Q61" s="7"/>
      <c r="R61" s="7"/>
      <c r="S61" s="7"/>
      <c r="T61" s="7">
        <v>14.895</v>
      </c>
      <c r="U61" s="7"/>
      <c r="V61" s="8"/>
      <c r="W61" s="7"/>
      <c r="X61" s="8"/>
      <c r="Y61" s="8"/>
      <c r="Z61" s="8"/>
      <c r="AA61" s="7">
        <f>SUM(D61:Z61)</f>
        <v>22.802</v>
      </c>
      <c r="AB61" s="53">
        <f t="shared" si="4"/>
        <v>-19.661</v>
      </c>
    </row>
    <row r="62" spans="2:28" ht="15.75">
      <c r="B62" s="3" t="s">
        <v>5</v>
      </c>
      <c r="C62" s="23">
        <f>107.293+18.9+66+33.3</f>
        <v>225.493</v>
      </c>
      <c r="D62" s="7"/>
      <c r="E62" s="7"/>
      <c r="F62" s="7">
        <v>7.996</v>
      </c>
      <c r="G62" s="7"/>
      <c r="H62" s="7"/>
      <c r="I62" s="7"/>
      <c r="J62" s="7"/>
      <c r="K62" s="7"/>
      <c r="L62" s="7">
        <v>8.878</v>
      </c>
      <c r="M62" s="7"/>
      <c r="N62" s="7"/>
      <c r="O62" s="7"/>
      <c r="P62" s="7"/>
      <c r="Q62" s="7">
        <v>5.842</v>
      </c>
      <c r="R62" s="7"/>
      <c r="S62" s="7">
        <v>71.208</v>
      </c>
      <c r="T62" s="7"/>
      <c r="U62" s="7">
        <v>38.219</v>
      </c>
      <c r="V62" s="7"/>
      <c r="W62" s="7"/>
      <c r="X62" s="7"/>
      <c r="Y62" s="7"/>
      <c r="Z62" s="7"/>
      <c r="AA62" s="7">
        <f>SUM(D62:Z62)</f>
        <v>132.143</v>
      </c>
      <c r="AB62" s="53">
        <f t="shared" si="4"/>
        <v>-93.35</v>
      </c>
    </row>
    <row r="63" spans="2:28" ht="15.75">
      <c r="B63" s="13" t="s">
        <v>44</v>
      </c>
      <c r="C63" s="18">
        <f>C64+C65</f>
        <v>3768.841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69.065</v>
      </c>
      <c r="G63" s="18">
        <f t="shared" si="16"/>
        <v>664.57</v>
      </c>
      <c r="H63" s="18">
        <f t="shared" si="16"/>
        <v>0</v>
      </c>
      <c r="I63" s="18">
        <f t="shared" si="16"/>
        <v>0</v>
      </c>
      <c r="J63" s="18">
        <f t="shared" si="16"/>
        <v>3.191</v>
      </c>
      <c r="K63" s="18">
        <f t="shared" si="16"/>
        <v>0</v>
      </c>
      <c r="L63" s="18">
        <f t="shared" si="16"/>
        <v>317.652</v>
      </c>
      <c r="M63" s="18">
        <f t="shared" si="16"/>
        <v>0</v>
      </c>
      <c r="N63" s="18">
        <f t="shared" si="16"/>
        <v>8.954</v>
      </c>
      <c r="O63" s="18">
        <f t="shared" si="16"/>
        <v>0</v>
      </c>
      <c r="P63" s="18">
        <f t="shared" si="16"/>
        <v>54.267</v>
      </c>
      <c r="Q63" s="18">
        <f t="shared" si="16"/>
        <v>513.007</v>
      </c>
      <c r="R63" s="18">
        <f t="shared" si="16"/>
        <v>4.854</v>
      </c>
      <c r="S63" s="18">
        <f t="shared" si="16"/>
        <v>24.96</v>
      </c>
      <c r="T63" s="18">
        <f>T64+T65</f>
        <v>262.081</v>
      </c>
      <c r="U63" s="18">
        <f t="shared" si="16"/>
        <v>5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1927.601</v>
      </c>
      <c r="AB63" s="53">
        <f t="shared" si="4"/>
        <v>-1841.2399999999998</v>
      </c>
    </row>
    <row r="64" spans="2:28" ht="15.75">
      <c r="B64" s="32" t="s">
        <v>49</v>
      </c>
      <c r="C64" s="27">
        <f>185.68+179</f>
        <v>364.68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145.822</v>
      </c>
      <c r="U64" s="8">
        <v>5</v>
      </c>
      <c r="V64" s="8"/>
      <c r="W64" s="8"/>
      <c r="X64" s="8"/>
      <c r="Y64" s="8"/>
      <c r="Z64" s="8"/>
      <c r="AA64" s="8">
        <f>SUM(D64:Z64)</f>
        <v>150.822</v>
      </c>
      <c r="AB64" s="53">
        <f t="shared" si="4"/>
        <v>-213.858</v>
      </c>
    </row>
    <row r="65" spans="2:28" ht="15.75">
      <c r="B65" s="32" t="s">
        <v>10</v>
      </c>
      <c r="C65" s="27">
        <f>2673.606+730.555</f>
        <v>3404.161</v>
      </c>
      <c r="D65" s="8"/>
      <c r="E65" s="8"/>
      <c r="F65" s="8">
        <v>69.065</v>
      </c>
      <c r="G65" s="8">
        <v>664.57</v>
      </c>
      <c r="H65" s="8"/>
      <c r="I65" s="8"/>
      <c r="J65" s="8">
        <v>3.191</v>
      </c>
      <c r="K65" s="8"/>
      <c r="L65" s="8">
        <v>317.652</v>
      </c>
      <c r="M65" s="8"/>
      <c r="N65" s="8">
        <v>8.954</v>
      </c>
      <c r="O65" s="8"/>
      <c r="P65" s="8">
        <v>54.267</v>
      </c>
      <c r="Q65" s="8">
        <v>513.007</v>
      </c>
      <c r="R65" s="8">
        <v>4.854</v>
      </c>
      <c r="S65" s="8">
        <v>24.96</v>
      </c>
      <c r="T65" s="8">
        <v>116.259</v>
      </c>
      <c r="U65" s="8"/>
      <c r="V65" s="8"/>
      <c r="W65" s="8"/>
      <c r="X65" s="8"/>
      <c r="Y65" s="8"/>
      <c r="Z65" s="8"/>
      <c r="AA65" s="8">
        <f>SUM(D65:Z65)</f>
        <v>1776.7790000000002</v>
      </c>
      <c r="AB65" s="53">
        <f t="shared" si="4"/>
        <v>-1627.3819999999998</v>
      </c>
    </row>
    <row r="66" spans="2:28" ht="15.75">
      <c r="B66" s="13" t="s">
        <v>63</v>
      </c>
      <c r="C66" s="18">
        <f>C67+C68</f>
        <v>96.497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0.654</v>
      </c>
      <c r="G66" s="18">
        <f t="shared" si="17"/>
        <v>0</v>
      </c>
      <c r="H66" s="18">
        <f t="shared" si="17"/>
        <v>0</v>
      </c>
      <c r="I66" s="18">
        <f t="shared" si="17"/>
        <v>9.616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3.5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13.77</v>
      </c>
      <c r="AB66" s="53">
        <f t="shared" si="4"/>
        <v>-82.727</v>
      </c>
    </row>
    <row r="67" spans="2:28" ht="15.75">
      <c r="B67" s="3" t="s">
        <v>1</v>
      </c>
      <c r="C67" s="27">
        <v>23.45</v>
      </c>
      <c r="D67" s="8"/>
      <c r="E67" s="8"/>
      <c r="F67" s="8"/>
      <c r="G67" s="8"/>
      <c r="H67" s="8"/>
      <c r="I67" s="8">
        <v>9.616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9.616</v>
      </c>
      <c r="AB67" s="53">
        <f t="shared" si="4"/>
        <v>-13.834</v>
      </c>
    </row>
    <row r="68" spans="2:28" ht="15.75">
      <c r="B68" s="3" t="s">
        <v>10</v>
      </c>
      <c r="C68" s="27">
        <f>0.654+72.393</f>
        <v>73.047</v>
      </c>
      <c r="D68" s="8"/>
      <c r="E68" s="8"/>
      <c r="F68" s="8">
        <v>0.654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3.5</v>
      </c>
      <c r="S68" s="8"/>
      <c r="T68" s="8"/>
      <c r="U68" s="8"/>
      <c r="V68" s="8"/>
      <c r="W68" s="8"/>
      <c r="X68" s="8"/>
      <c r="Y68" s="8"/>
      <c r="Z68" s="8"/>
      <c r="AA68" s="8">
        <f>SUM(D68:Z68)</f>
        <v>4.154</v>
      </c>
      <c r="AB68" s="53">
        <f t="shared" si="4"/>
        <v>-68.893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1266.2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112</v>
      </c>
      <c r="G70" s="18">
        <f t="shared" si="18"/>
        <v>0</v>
      </c>
      <c r="H70" s="18">
        <f t="shared" si="18"/>
        <v>0</v>
      </c>
      <c r="I70" s="18">
        <f t="shared" si="18"/>
        <v>38.098</v>
      </c>
      <c r="J70" s="18">
        <f t="shared" si="18"/>
        <v>0</v>
      </c>
      <c r="K70" s="18">
        <f t="shared" si="18"/>
        <v>0</v>
      </c>
      <c r="L70" s="18">
        <f t="shared" si="18"/>
        <v>59.684</v>
      </c>
      <c r="M70" s="18">
        <f t="shared" si="18"/>
        <v>274.484</v>
      </c>
      <c r="N70" s="18">
        <f t="shared" si="18"/>
        <v>0</v>
      </c>
      <c r="O70" s="18">
        <f t="shared" si="18"/>
        <v>135.736</v>
      </c>
      <c r="P70" s="18">
        <f t="shared" si="18"/>
        <v>0</v>
      </c>
      <c r="Q70" s="18">
        <f t="shared" si="18"/>
        <v>0</v>
      </c>
      <c r="R70" s="18">
        <f t="shared" si="18"/>
        <v>139.264</v>
      </c>
      <c r="S70" s="18">
        <f t="shared" si="18"/>
        <v>0</v>
      </c>
      <c r="T70" s="18">
        <f t="shared" si="18"/>
        <v>149.944</v>
      </c>
      <c r="U70" s="18">
        <f t="shared" si="18"/>
        <v>119.788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1028.9979999999998</v>
      </c>
      <c r="AB70" s="53">
        <f t="shared" si="4"/>
        <v>-237.20200000000023</v>
      </c>
      <c r="AC70" s="35"/>
    </row>
    <row r="71" spans="2:40" s="35" customFormat="1" ht="15.75">
      <c r="B71" s="32" t="s">
        <v>49</v>
      </c>
      <c r="C71" s="27">
        <f>1187.2+79</f>
        <v>1266.2</v>
      </c>
      <c r="D71" s="8"/>
      <c r="E71" s="8"/>
      <c r="F71" s="8">
        <v>112</v>
      </c>
      <c r="G71" s="8"/>
      <c r="H71" s="8"/>
      <c r="I71" s="8">
        <v>38.098</v>
      </c>
      <c r="J71" s="8"/>
      <c r="K71" s="8"/>
      <c r="L71" s="8">
        <v>59.684</v>
      </c>
      <c r="M71" s="8">
        <v>274.484</v>
      </c>
      <c r="N71" s="8"/>
      <c r="O71" s="8">
        <v>135.736</v>
      </c>
      <c r="P71" s="8"/>
      <c r="Q71" s="8"/>
      <c r="R71" s="8">
        <v>139.264</v>
      </c>
      <c r="S71" s="8"/>
      <c r="T71" s="8">
        <v>149.944</v>
      </c>
      <c r="U71" s="8">
        <v>119.788</v>
      </c>
      <c r="V71" s="8"/>
      <c r="W71" s="8"/>
      <c r="X71" s="8"/>
      <c r="Y71" s="8"/>
      <c r="Z71" s="8"/>
      <c r="AA71" s="8">
        <f aca="true" t="shared" si="19" ref="AA71:AA80">SUM(D71:Z71)</f>
        <v>1028.9979999999998</v>
      </c>
      <c r="AB71" s="53">
        <f t="shared" si="4"/>
        <v>-237.20200000000023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500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v>162.522</v>
      </c>
      <c r="V73" s="18"/>
      <c r="W73" s="18"/>
      <c r="X73" s="18"/>
      <c r="Y73" s="18"/>
      <c r="Z73" s="18"/>
      <c r="AA73" s="18">
        <f t="shared" si="19"/>
        <v>162.522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281.128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-281.128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67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-67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191.768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>
      <c r="B78" s="13" t="s">
        <v>68</v>
      </c>
      <c r="C78" s="18">
        <v>250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>
        <v>250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250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278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>
        <v>22</v>
      </c>
      <c r="T79" s="18"/>
      <c r="U79" s="18">
        <v>250</v>
      </c>
      <c r="V79" s="18"/>
      <c r="W79" s="18"/>
      <c r="X79" s="18"/>
      <c r="Y79" s="18"/>
      <c r="Z79" s="18"/>
      <c r="AA79" s="18">
        <f t="shared" si="19"/>
        <v>272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8.837</v>
      </c>
      <c r="F80" s="18"/>
      <c r="G80" s="18">
        <v>14.925</v>
      </c>
      <c r="H80" s="18">
        <v>828.463</v>
      </c>
      <c r="I80" s="18">
        <v>200.277</v>
      </c>
      <c r="J80" s="18">
        <v>22.208</v>
      </c>
      <c r="K80" s="18">
        <v>43.547</v>
      </c>
      <c r="L80" s="18">
        <v>0.81</v>
      </c>
      <c r="M80" s="18">
        <v>332.882</v>
      </c>
      <c r="N80" s="18">
        <v>476.853</v>
      </c>
      <c r="O80" s="18">
        <v>19.975</v>
      </c>
      <c r="P80" s="18">
        <v>74.91</v>
      </c>
      <c r="Q80" s="18">
        <v>38.652</v>
      </c>
      <c r="R80" s="18">
        <v>27.11</v>
      </c>
      <c r="S80" s="18">
        <v>603.833</v>
      </c>
      <c r="T80" s="18">
        <v>424.206</v>
      </c>
      <c r="U80" s="18">
        <v>58.146</v>
      </c>
      <c r="V80" s="18">
        <v>-11.247</v>
      </c>
      <c r="W80" s="18"/>
      <c r="X80" s="18"/>
      <c r="Y80" s="18"/>
      <c r="Z80" s="18"/>
      <c r="AA80" s="18">
        <f t="shared" si="19"/>
        <v>3164.3870000000006</v>
      </c>
      <c r="AB80" s="53">
        <f t="shared" si="4"/>
        <v>3164.3870000000006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31397.323999999997</v>
      </c>
      <c r="D81" s="26">
        <f aca="true" t="shared" si="20" ref="D81:AA81">SUM(D82:D88)</f>
        <v>0</v>
      </c>
      <c r="E81" s="26">
        <f t="shared" si="20"/>
        <v>73.521</v>
      </c>
      <c r="F81" s="26">
        <f t="shared" si="20"/>
        <v>289.265</v>
      </c>
      <c r="G81" s="26">
        <f t="shared" si="20"/>
        <v>935.393</v>
      </c>
      <c r="H81" s="26">
        <f t="shared" si="20"/>
        <v>1125.584</v>
      </c>
      <c r="I81" s="26">
        <f t="shared" si="20"/>
        <v>383.358</v>
      </c>
      <c r="J81" s="26">
        <f t="shared" si="20"/>
        <v>1823.74</v>
      </c>
      <c r="K81" s="26">
        <f t="shared" si="20"/>
        <v>3074.685</v>
      </c>
      <c r="L81" s="26">
        <f t="shared" si="20"/>
        <v>1686.6750000000002</v>
      </c>
      <c r="M81" s="26">
        <f t="shared" si="20"/>
        <v>688.071</v>
      </c>
      <c r="N81" s="26">
        <f t="shared" si="20"/>
        <v>578.6790000000001</v>
      </c>
      <c r="O81" s="26">
        <f t="shared" si="20"/>
        <v>474.372</v>
      </c>
      <c r="P81" s="26">
        <f t="shared" si="20"/>
        <v>725.841</v>
      </c>
      <c r="Q81" s="26">
        <f t="shared" si="20"/>
        <v>859.31</v>
      </c>
      <c r="R81" s="26">
        <f t="shared" si="20"/>
        <v>392.66</v>
      </c>
      <c r="S81" s="26">
        <f t="shared" si="20"/>
        <v>959.634</v>
      </c>
      <c r="T81" s="26">
        <f>SUM(T82:T88)</f>
        <v>6600.66</v>
      </c>
      <c r="U81" s="26">
        <f t="shared" si="20"/>
        <v>2794.09</v>
      </c>
      <c r="V81" s="26">
        <f t="shared" si="20"/>
        <v>-12.836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23452.702</v>
      </c>
      <c r="AB81" s="53">
        <f t="shared" si="4"/>
        <v>-7944.621999999996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16056.895</v>
      </c>
      <c r="D82" s="23">
        <f t="shared" si="21"/>
        <v>0</v>
      </c>
      <c r="E82" s="23">
        <f t="shared" si="21"/>
        <v>0</v>
      </c>
      <c r="F82" s="23">
        <f t="shared" si="21"/>
        <v>56.895999999999994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1323.674</v>
      </c>
      <c r="K82" s="23">
        <f t="shared" si="21"/>
        <v>2691.363</v>
      </c>
      <c r="L82" s="23">
        <f t="shared" si="21"/>
        <v>1129.985</v>
      </c>
      <c r="M82" s="23">
        <f t="shared" si="21"/>
        <v>17.65</v>
      </c>
      <c r="N82" s="23">
        <f t="shared" si="21"/>
        <v>1.4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136.972</v>
      </c>
      <c r="T82" s="23">
        <f t="shared" si="21"/>
        <v>5093.928</v>
      </c>
      <c r="U82" s="23">
        <f t="shared" si="21"/>
        <v>1676.201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12128.069</v>
      </c>
      <c r="AB82" s="53">
        <f t="shared" si="4"/>
        <v>-3928.826000000001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14.613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0.23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0.999</v>
      </c>
      <c r="O83" s="23">
        <f t="shared" si="22"/>
        <v>0</v>
      </c>
      <c r="P83" s="23">
        <f t="shared" si="22"/>
        <v>0.854</v>
      </c>
      <c r="Q83" s="23">
        <f t="shared" si="22"/>
        <v>1.499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3.5820000000000003</v>
      </c>
      <c r="AB83" s="53">
        <f t="shared" si="4"/>
        <v>-11.030999999999999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804.602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30.869</v>
      </c>
      <c r="H84" s="23">
        <f t="shared" si="23"/>
        <v>63.172</v>
      </c>
      <c r="I84" s="23">
        <f t="shared" si="23"/>
        <v>0</v>
      </c>
      <c r="J84" s="23">
        <f t="shared" si="23"/>
        <v>45.738</v>
      </c>
      <c r="K84" s="23">
        <f t="shared" si="23"/>
        <v>85.613</v>
      </c>
      <c r="L84" s="23">
        <f t="shared" si="23"/>
        <v>73.709</v>
      </c>
      <c r="M84" s="23">
        <f t="shared" si="23"/>
        <v>0</v>
      </c>
      <c r="N84" s="23">
        <f t="shared" si="23"/>
        <v>49.159</v>
      </c>
      <c r="O84" s="23">
        <f t="shared" si="23"/>
        <v>0</v>
      </c>
      <c r="P84" s="23">
        <f t="shared" si="23"/>
        <v>24.826</v>
      </c>
      <c r="Q84" s="23">
        <f t="shared" si="23"/>
        <v>30.032</v>
      </c>
      <c r="R84" s="23">
        <f t="shared" si="23"/>
        <v>8.794</v>
      </c>
      <c r="S84" s="23">
        <f t="shared" si="23"/>
        <v>0</v>
      </c>
      <c r="T84" s="23">
        <f t="shared" si="23"/>
        <v>150.326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562.2379999999999</v>
      </c>
      <c r="AB84" s="53">
        <f t="shared" si="4"/>
        <v>-242.36400000000003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2982.0099999999998</v>
      </c>
      <c r="D85" s="23">
        <f t="shared" si="24"/>
        <v>0</v>
      </c>
      <c r="E85" s="23">
        <f t="shared" si="24"/>
        <v>36.028</v>
      </c>
      <c r="F85" s="23">
        <f t="shared" si="24"/>
        <v>23.715</v>
      </c>
      <c r="G85" s="23">
        <f t="shared" si="24"/>
        <v>157.781</v>
      </c>
      <c r="H85" s="23">
        <f t="shared" si="24"/>
        <v>153.958</v>
      </c>
      <c r="I85" s="23">
        <f t="shared" si="24"/>
        <v>45.98</v>
      </c>
      <c r="J85" s="23">
        <f t="shared" si="24"/>
        <v>360.251</v>
      </c>
      <c r="K85" s="23">
        <f t="shared" si="24"/>
        <v>226.266</v>
      </c>
      <c r="L85" s="23">
        <f t="shared" si="24"/>
        <v>67.468</v>
      </c>
      <c r="M85" s="23">
        <f t="shared" si="24"/>
        <v>18.238</v>
      </c>
      <c r="N85" s="23">
        <f t="shared" si="24"/>
        <v>1.914</v>
      </c>
      <c r="O85" s="23">
        <f t="shared" si="24"/>
        <v>12.792000000000002</v>
      </c>
      <c r="P85" s="23">
        <f t="shared" si="24"/>
        <v>353.071</v>
      </c>
      <c r="Q85" s="23">
        <f t="shared" si="24"/>
        <v>85.292</v>
      </c>
      <c r="R85" s="23">
        <f t="shared" si="24"/>
        <v>27.679</v>
      </c>
      <c r="S85" s="23">
        <f t="shared" si="24"/>
        <v>0</v>
      </c>
      <c r="T85" s="23">
        <f t="shared" si="24"/>
        <v>264.352</v>
      </c>
      <c r="U85" s="23">
        <f t="shared" si="24"/>
        <v>5.219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1840.004</v>
      </c>
      <c r="AB85" s="53">
        <f>AA85-C85</f>
        <v>-1142.0059999999999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506.62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163.72199999999998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163.72199999999998</v>
      </c>
      <c r="AB86" s="53">
        <f>AA86-C86</f>
        <v>-342.898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5490.746999999999</v>
      </c>
      <c r="D87" s="23">
        <f aca="true" t="shared" si="26" ref="D87:AA87">D30+D51+D61+D65+D31+D68+D77+D78+D79</f>
        <v>0</v>
      </c>
      <c r="E87" s="23">
        <f t="shared" si="26"/>
        <v>5.028</v>
      </c>
      <c r="F87" s="23">
        <f t="shared" si="26"/>
        <v>69.719</v>
      </c>
      <c r="G87" s="23">
        <f t="shared" si="26"/>
        <v>664.57</v>
      </c>
      <c r="H87" s="23">
        <f t="shared" si="26"/>
        <v>0</v>
      </c>
      <c r="I87" s="23">
        <f t="shared" si="26"/>
        <v>7.907</v>
      </c>
      <c r="J87" s="23">
        <f t="shared" si="26"/>
        <v>28.445</v>
      </c>
      <c r="K87" s="23">
        <f t="shared" si="26"/>
        <v>0</v>
      </c>
      <c r="L87" s="23">
        <f t="shared" si="26"/>
        <v>317.652</v>
      </c>
      <c r="M87" s="23">
        <f t="shared" si="26"/>
        <v>31.253</v>
      </c>
      <c r="N87" s="23">
        <f t="shared" si="26"/>
        <v>8.954</v>
      </c>
      <c r="O87" s="23">
        <f t="shared" si="26"/>
        <v>250</v>
      </c>
      <c r="P87" s="23">
        <f t="shared" si="26"/>
        <v>152.541</v>
      </c>
      <c r="Q87" s="23">
        <f t="shared" si="26"/>
        <v>513.007</v>
      </c>
      <c r="R87" s="23">
        <f t="shared" si="26"/>
        <v>8.354</v>
      </c>
      <c r="S87" s="23">
        <f t="shared" si="26"/>
        <v>147.621</v>
      </c>
      <c r="T87" s="23">
        <f t="shared" si="26"/>
        <v>217.933</v>
      </c>
      <c r="U87" s="23">
        <f t="shared" si="26"/>
        <v>255.636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2678.6200000000003</v>
      </c>
      <c r="AB87" s="53">
        <f>AA87-C87</f>
        <v>-2812.126999999999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 aca="true" t="shared" si="27" ref="C88:AA88">C22+C28+C32+C33+C40+C44+C48+C56+C62+C71+C75+C76+C80+C64+C74+C72+C34+C69</f>
        <v>5541.837</v>
      </c>
      <c r="D88" s="23">
        <f t="shared" si="27"/>
        <v>0</v>
      </c>
      <c r="E88" s="23">
        <f t="shared" si="27"/>
        <v>32.465</v>
      </c>
      <c r="F88" s="23">
        <f t="shared" si="27"/>
        <v>138.935</v>
      </c>
      <c r="G88" s="23">
        <f t="shared" si="27"/>
        <v>82.173</v>
      </c>
      <c r="H88" s="23">
        <f t="shared" si="27"/>
        <v>908.224</v>
      </c>
      <c r="I88" s="23">
        <f t="shared" si="27"/>
        <v>329.471</v>
      </c>
      <c r="J88" s="23">
        <f t="shared" si="27"/>
        <v>65.63199999999999</v>
      </c>
      <c r="K88" s="23">
        <f t="shared" si="27"/>
        <v>71.443</v>
      </c>
      <c r="L88" s="23">
        <f t="shared" si="27"/>
        <v>97.861</v>
      </c>
      <c r="M88" s="23">
        <f t="shared" si="27"/>
        <v>620.9300000000001</v>
      </c>
      <c r="N88" s="23">
        <f t="shared" si="27"/>
        <v>516.253</v>
      </c>
      <c r="O88" s="23">
        <f t="shared" si="27"/>
        <v>211.57999999999998</v>
      </c>
      <c r="P88" s="23">
        <f t="shared" si="27"/>
        <v>194.54899999999998</v>
      </c>
      <c r="Q88" s="23">
        <f t="shared" si="27"/>
        <v>229.48000000000002</v>
      </c>
      <c r="R88" s="23">
        <f t="shared" si="27"/>
        <v>347.833</v>
      </c>
      <c r="S88" s="23">
        <f t="shared" si="27"/>
        <v>675.0409999999999</v>
      </c>
      <c r="T88" s="23">
        <f t="shared" si="27"/>
        <v>874.121</v>
      </c>
      <c r="U88" s="23">
        <f t="shared" si="27"/>
        <v>693.3119999999999</v>
      </c>
      <c r="V88" s="23">
        <f t="shared" si="27"/>
        <v>-12.836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6076.467000000001</v>
      </c>
      <c r="AB88" s="53">
        <f>AA88-C88</f>
        <v>534.6300000000001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715" topLeftCell="X10" activePane="bottomRight" state="split"/>
      <selection pane="topLeft" activeCell="P84" sqref="P84"/>
      <selection pane="topRight" activeCell="AD5" sqref="AD5"/>
      <selection pane="bottomLeft" activeCell="C10" sqref="C10"/>
      <selection pane="bottomRight" activeCell="X13" sqref="X1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13" width="8.75390625" style="4" customWidth="1"/>
    <col min="14" max="14" width="8.75390625" style="4" hidden="1" customWidth="1"/>
    <col min="15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70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6</v>
      </c>
      <c r="G5" s="5">
        <v>7</v>
      </c>
      <c r="H5" s="5">
        <v>8</v>
      </c>
      <c r="I5" s="5">
        <v>13</v>
      </c>
      <c r="J5" s="6">
        <v>14</v>
      </c>
      <c r="K5" s="5">
        <v>15</v>
      </c>
      <c r="L5" s="5">
        <v>16</v>
      </c>
      <c r="M5" s="5">
        <v>17</v>
      </c>
      <c r="N5" s="5">
        <v>18</v>
      </c>
      <c r="O5" s="5">
        <v>20</v>
      </c>
      <c r="P5" s="5">
        <v>21</v>
      </c>
      <c r="Q5" s="5">
        <v>22</v>
      </c>
      <c r="R5" s="5">
        <v>23</v>
      </c>
      <c r="S5" s="5">
        <v>24</v>
      </c>
      <c r="T5" s="5">
        <v>27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135</v>
      </c>
      <c r="D6" s="45">
        <v>59.4</v>
      </c>
      <c r="E6" s="7"/>
      <c r="F6" s="9"/>
      <c r="G6" s="7"/>
      <c r="H6" s="9">
        <v>75.6</v>
      </c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7087.1</v>
      </c>
      <c r="D7" s="1">
        <v>3543.6</v>
      </c>
      <c r="E7" s="7"/>
      <c r="F7" s="7"/>
      <c r="G7" s="7"/>
      <c r="H7" s="7">
        <v>3543.5</v>
      </c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20147.2</v>
      </c>
      <c r="D8" s="37">
        <f aca="true" t="shared" si="1" ref="D8:Y8">SUM(D9:D16)</f>
        <v>634.3</v>
      </c>
      <c r="E8" s="37">
        <f t="shared" si="1"/>
        <v>671.8</v>
      </c>
      <c r="F8" s="37">
        <f t="shared" si="1"/>
        <v>976.1</v>
      </c>
      <c r="G8" s="37">
        <f t="shared" si="1"/>
        <v>3020.8000000000006</v>
      </c>
      <c r="H8" s="37">
        <f t="shared" si="1"/>
        <v>1712</v>
      </c>
      <c r="I8" s="37">
        <f>SUM(I9:I16)</f>
        <v>660.2</v>
      </c>
      <c r="J8" s="37">
        <f t="shared" si="1"/>
        <v>768.5</v>
      </c>
      <c r="K8" s="37">
        <f>SUM(K9:K16)</f>
        <v>1230.9</v>
      </c>
      <c r="L8" s="37">
        <f t="shared" si="1"/>
        <v>583.6000000000001</v>
      </c>
      <c r="M8" s="37">
        <f t="shared" si="1"/>
        <v>786.4999999999999</v>
      </c>
      <c r="N8" s="37">
        <f t="shared" si="1"/>
        <v>0</v>
      </c>
      <c r="O8" s="37">
        <f t="shared" si="1"/>
        <v>1066.1000000000001</v>
      </c>
      <c r="P8" s="37">
        <f t="shared" si="1"/>
        <v>1070.8</v>
      </c>
      <c r="Q8" s="37">
        <f t="shared" si="1"/>
        <v>1003.1999999999999</v>
      </c>
      <c r="R8" s="37">
        <f t="shared" si="1"/>
        <v>495.59999999999997</v>
      </c>
      <c r="S8" s="37">
        <f>SUM(S9:S16)</f>
        <v>996.3000000000001</v>
      </c>
      <c r="T8" s="37">
        <f>SUM(T9:T16)</f>
        <v>996.3</v>
      </c>
      <c r="U8" s="37">
        <f t="shared" si="1"/>
        <v>1333.6</v>
      </c>
      <c r="V8" s="37">
        <f t="shared" si="1"/>
        <v>764.7</v>
      </c>
      <c r="W8" s="37">
        <f t="shared" si="1"/>
        <v>687.9000000000001</v>
      </c>
      <c r="X8" s="37">
        <f t="shared" si="1"/>
        <v>688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10676.9</v>
      </c>
      <c r="D9" s="40">
        <v>109.7</v>
      </c>
      <c r="E9" s="8">
        <v>205.1</v>
      </c>
      <c r="F9" s="8">
        <v>813.6</v>
      </c>
      <c r="G9" s="8">
        <v>2576.5</v>
      </c>
      <c r="H9" s="8">
        <v>737.2</v>
      </c>
      <c r="I9" s="8">
        <v>190.6</v>
      </c>
      <c r="J9" s="8">
        <v>339.5</v>
      </c>
      <c r="K9" s="8">
        <v>578.1</v>
      </c>
      <c r="L9" s="8">
        <v>141.9</v>
      </c>
      <c r="M9" s="8">
        <v>143.1</v>
      </c>
      <c r="N9" s="8"/>
      <c r="O9" s="8">
        <v>681.8</v>
      </c>
      <c r="P9" s="8">
        <v>595.9</v>
      </c>
      <c r="Q9" s="8">
        <v>696.4</v>
      </c>
      <c r="R9" s="43">
        <v>301.6</v>
      </c>
      <c r="S9" s="43">
        <v>508</v>
      </c>
      <c r="T9" s="8">
        <v>553.8</v>
      </c>
      <c r="U9" s="43">
        <v>394.7</v>
      </c>
      <c r="V9" s="8">
        <v>426</v>
      </c>
      <c r="W9" s="8">
        <v>252.1</v>
      </c>
      <c r="X9" s="8">
        <v>431.3</v>
      </c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0.30000000000000004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0.2</v>
      </c>
      <c r="P10" s="8"/>
      <c r="Q10" s="8"/>
      <c r="R10" s="43"/>
      <c r="S10" s="43"/>
      <c r="T10" s="8">
        <v>0.1</v>
      </c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1263.7999999999997</v>
      </c>
      <c r="D11" s="40">
        <v>98.4</v>
      </c>
      <c r="E11" s="8">
        <v>67.7</v>
      </c>
      <c r="F11" s="8">
        <v>62.6</v>
      </c>
      <c r="G11" s="8">
        <v>49.2</v>
      </c>
      <c r="H11" s="8">
        <v>130.4</v>
      </c>
      <c r="I11" s="8">
        <v>26.3</v>
      </c>
      <c r="J11" s="8">
        <v>30.5</v>
      </c>
      <c r="K11" s="8">
        <v>37.6</v>
      </c>
      <c r="L11" s="8">
        <v>22.5</v>
      </c>
      <c r="M11" s="8">
        <v>39.3</v>
      </c>
      <c r="N11" s="8"/>
      <c r="O11" s="8">
        <v>66.7</v>
      </c>
      <c r="P11" s="8">
        <v>19</v>
      </c>
      <c r="Q11" s="8">
        <v>47.4</v>
      </c>
      <c r="R11" s="43">
        <v>49</v>
      </c>
      <c r="S11" s="43">
        <v>39.6</v>
      </c>
      <c r="T11" s="8">
        <v>133.3</v>
      </c>
      <c r="U11" s="43">
        <v>191.3</v>
      </c>
      <c r="V11" s="8">
        <v>56.8</v>
      </c>
      <c r="W11" s="8">
        <v>61.6</v>
      </c>
      <c r="X11" s="8">
        <v>34.6</v>
      </c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1102.3999999999999</v>
      </c>
      <c r="D12" s="40">
        <v>62.4</v>
      </c>
      <c r="E12" s="8">
        <v>53.7</v>
      </c>
      <c r="F12" s="8">
        <v>7.5</v>
      </c>
      <c r="G12" s="8">
        <v>6.8</v>
      </c>
      <c r="H12" s="8">
        <v>71.6</v>
      </c>
      <c r="I12" s="8">
        <v>127.2</v>
      </c>
      <c r="J12" s="8">
        <v>46.5</v>
      </c>
      <c r="K12" s="8">
        <v>70.1</v>
      </c>
      <c r="L12" s="8">
        <v>42.2</v>
      </c>
      <c r="M12" s="8">
        <v>66</v>
      </c>
      <c r="N12" s="8"/>
      <c r="O12" s="8">
        <v>82.1</v>
      </c>
      <c r="P12" s="8">
        <v>62.9</v>
      </c>
      <c r="Q12" s="8">
        <v>61.2</v>
      </c>
      <c r="R12" s="43">
        <v>31.9</v>
      </c>
      <c r="S12" s="43">
        <v>78.9</v>
      </c>
      <c r="T12" s="8">
        <v>32.9</v>
      </c>
      <c r="U12" s="43">
        <v>36.6</v>
      </c>
      <c r="V12" s="8">
        <v>55.1</v>
      </c>
      <c r="W12" s="8">
        <v>39</v>
      </c>
      <c r="X12" s="8">
        <v>67.8</v>
      </c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3394.4</v>
      </c>
      <c r="D13" s="40">
        <v>56</v>
      </c>
      <c r="E13" s="8">
        <v>202.4</v>
      </c>
      <c r="F13" s="8">
        <v>17</v>
      </c>
      <c r="G13" s="8">
        <v>74.3</v>
      </c>
      <c r="H13" s="8">
        <v>277.5</v>
      </c>
      <c r="I13" s="8">
        <v>203.5</v>
      </c>
      <c r="J13" s="8">
        <v>32.2</v>
      </c>
      <c r="K13" s="8">
        <v>81.7</v>
      </c>
      <c r="L13" s="8">
        <v>51.5</v>
      </c>
      <c r="M13" s="8">
        <v>42.8</v>
      </c>
      <c r="N13" s="8"/>
      <c r="O13" s="8">
        <v>43.2</v>
      </c>
      <c r="P13" s="8">
        <v>277.9</v>
      </c>
      <c r="Q13" s="8">
        <v>128.6</v>
      </c>
      <c r="R13" s="43">
        <v>73.2</v>
      </c>
      <c r="S13" s="43">
        <v>315.2</v>
      </c>
      <c r="T13" s="8">
        <v>249</v>
      </c>
      <c r="U13" s="8">
        <v>687.6</v>
      </c>
      <c r="V13" s="8">
        <v>158.3</v>
      </c>
      <c r="W13" s="8">
        <v>308.5</v>
      </c>
      <c r="X13" s="8">
        <v>114</v>
      </c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3020.6</v>
      </c>
      <c r="D14" s="40">
        <v>260.9</v>
      </c>
      <c r="E14" s="8">
        <v>118.7</v>
      </c>
      <c r="F14" s="8">
        <v>54</v>
      </c>
      <c r="G14" s="8">
        <v>295.3</v>
      </c>
      <c r="H14" s="8">
        <v>438.7</v>
      </c>
      <c r="I14" s="8">
        <v>97.9</v>
      </c>
      <c r="J14" s="8">
        <v>224.3</v>
      </c>
      <c r="K14" s="8">
        <v>368.4</v>
      </c>
      <c r="L14" s="8">
        <v>291.8</v>
      </c>
      <c r="M14" s="8">
        <v>474.9</v>
      </c>
      <c r="N14" s="8"/>
      <c r="O14" s="8">
        <v>170.1</v>
      </c>
      <c r="P14" s="8">
        <v>100.5</v>
      </c>
      <c r="Q14" s="8">
        <v>41.8</v>
      </c>
      <c r="R14" s="43">
        <v>7.7</v>
      </c>
      <c r="S14" s="43">
        <v>30.6</v>
      </c>
      <c r="T14" s="8">
        <v>12.5</v>
      </c>
      <c r="U14" s="43">
        <v>5.3</v>
      </c>
      <c r="V14" s="8">
        <v>6.1</v>
      </c>
      <c r="W14" s="8">
        <v>1.7</v>
      </c>
      <c r="X14" s="8">
        <v>19.4</v>
      </c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241.20000000000005</v>
      </c>
      <c r="D15" s="40">
        <v>8.6</v>
      </c>
      <c r="E15" s="8">
        <v>17.8</v>
      </c>
      <c r="F15" s="8">
        <v>11.1</v>
      </c>
      <c r="G15" s="8">
        <v>9.8</v>
      </c>
      <c r="H15" s="8">
        <v>33.8</v>
      </c>
      <c r="I15" s="8">
        <v>10</v>
      </c>
      <c r="J15" s="8">
        <v>6.4</v>
      </c>
      <c r="K15" s="8">
        <v>12.3</v>
      </c>
      <c r="L15" s="8">
        <v>13.2</v>
      </c>
      <c r="M15" s="8">
        <v>6.6</v>
      </c>
      <c r="N15" s="8"/>
      <c r="O15" s="8">
        <v>13.4</v>
      </c>
      <c r="P15" s="8">
        <v>9.4</v>
      </c>
      <c r="Q15" s="8">
        <v>13.5</v>
      </c>
      <c r="R15" s="43">
        <v>11.3</v>
      </c>
      <c r="S15" s="43">
        <v>15.4</v>
      </c>
      <c r="T15" s="8">
        <v>7.9</v>
      </c>
      <c r="U15" s="43">
        <v>10.5</v>
      </c>
      <c r="V15" s="8">
        <v>10.8</v>
      </c>
      <c r="W15" s="8">
        <v>10.3</v>
      </c>
      <c r="X15" s="8">
        <v>9.1</v>
      </c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447.6000000000001</v>
      </c>
      <c r="D16" s="40">
        <v>38.3</v>
      </c>
      <c r="E16" s="8">
        <v>6.4</v>
      </c>
      <c r="F16" s="8">
        <v>10.3</v>
      </c>
      <c r="G16" s="8">
        <v>8.9</v>
      </c>
      <c r="H16" s="8">
        <v>22.8</v>
      </c>
      <c r="I16" s="8">
        <v>4.7</v>
      </c>
      <c r="J16" s="8">
        <v>89.1</v>
      </c>
      <c r="K16" s="8">
        <v>82.7</v>
      </c>
      <c r="L16" s="8">
        <v>20.5</v>
      </c>
      <c r="M16" s="8">
        <v>13.8</v>
      </c>
      <c r="N16" s="8"/>
      <c r="O16" s="8">
        <v>8.6</v>
      </c>
      <c r="P16" s="8">
        <v>5.2</v>
      </c>
      <c r="Q16" s="8">
        <v>14.3</v>
      </c>
      <c r="R16" s="43">
        <v>20.9</v>
      </c>
      <c r="S16" s="43">
        <v>8.6</v>
      </c>
      <c r="T16" s="8">
        <v>6.8</v>
      </c>
      <c r="U16" s="43">
        <v>7.6</v>
      </c>
      <c r="V16" s="8">
        <v>51.6</v>
      </c>
      <c r="W16" s="8">
        <v>14.7</v>
      </c>
      <c r="X16" s="43">
        <v>11.8</v>
      </c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27369.3</v>
      </c>
      <c r="D17" s="22">
        <f>SUM(D6:D8)</f>
        <v>4237.3</v>
      </c>
      <c r="E17" s="22">
        <f aca="true" t="shared" si="2" ref="E17:Y17">SUM(E6:E8)</f>
        <v>671.8</v>
      </c>
      <c r="F17" s="22">
        <f t="shared" si="2"/>
        <v>976.1</v>
      </c>
      <c r="G17" s="22">
        <f t="shared" si="2"/>
        <v>3020.8000000000006</v>
      </c>
      <c r="H17" s="22">
        <f t="shared" si="2"/>
        <v>5331.1</v>
      </c>
      <c r="I17" s="22">
        <f t="shared" si="2"/>
        <v>660.2</v>
      </c>
      <c r="J17" s="22">
        <f t="shared" si="2"/>
        <v>768.5</v>
      </c>
      <c r="K17" s="22">
        <f t="shared" si="2"/>
        <v>1230.9</v>
      </c>
      <c r="L17" s="22">
        <f t="shared" si="2"/>
        <v>583.6000000000001</v>
      </c>
      <c r="M17" s="22">
        <f>SUM(M6:M8)</f>
        <v>786.4999999999999</v>
      </c>
      <c r="N17" s="22">
        <f t="shared" si="2"/>
        <v>0</v>
      </c>
      <c r="O17" s="22">
        <f t="shared" si="2"/>
        <v>1066.1000000000001</v>
      </c>
      <c r="P17" s="22">
        <f t="shared" si="2"/>
        <v>1070.8</v>
      </c>
      <c r="Q17" s="22">
        <f t="shared" si="2"/>
        <v>1003.1999999999999</v>
      </c>
      <c r="R17" s="22">
        <f t="shared" si="2"/>
        <v>495.59999999999997</v>
      </c>
      <c r="S17" s="22">
        <f t="shared" si="2"/>
        <v>996.3000000000001</v>
      </c>
      <c r="T17" s="22">
        <f>SUM(T6:T8)</f>
        <v>996.3</v>
      </c>
      <c r="U17" s="22">
        <f t="shared" si="2"/>
        <v>1333.6</v>
      </c>
      <c r="V17" s="22">
        <f t="shared" si="2"/>
        <v>764.7</v>
      </c>
      <c r="W17" s="22">
        <f t="shared" si="2"/>
        <v>687.9000000000001</v>
      </c>
      <c r="X17" s="22">
        <f t="shared" si="2"/>
        <v>688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C19+C23+C29+C32+C33+C34+C35+C41+C45+C49+C52+C57+C63+C70+C75+C76+C80+C31+C66+C74+C72+C73+C77+C78+C79+C69</f>
        <v>35975.543</v>
      </c>
      <c r="D18" s="24">
        <f aca="true" t="shared" si="3" ref="D18:AA18">D19+D23+D29+D32+D33+D34+D35+D41+D45+D49+D52+D57+D63+D70+D75+D76+D80+D31+D66+D74+D72+D73+D77+D78+D79+D69</f>
        <v>0.9</v>
      </c>
      <c r="E18" s="24">
        <f t="shared" si="3"/>
        <v>1665.446</v>
      </c>
      <c r="F18" s="24">
        <f t="shared" si="3"/>
        <v>0</v>
      </c>
      <c r="G18" s="24">
        <f t="shared" si="3"/>
        <v>1367.029</v>
      </c>
      <c r="H18" s="24">
        <f t="shared" si="3"/>
        <v>1311.873</v>
      </c>
      <c r="I18" s="24">
        <f t="shared" si="3"/>
        <v>2651.176</v>
      </c>
      <c r="J18" s="24">
        <f t="shared" si="3"/>
        <v>2171.2119999999995</v>
      </c>
      <c r="K18" s="24">
        <f t="shared" si="3"/>
        <v>537.892</v>
      </c>
      <c r="L18" s="24">
        <f t="shared" si="3"/>
        <v>701.4459999999999</v>
      </c>
      <c r="M18" s="24">
        <f t="shared" si="3"/>
        <v>480.09799999999996</v>
      </c>
      <c r="N18" s="24">
        <f t="shared" si="3"/>
        <v>0</v>
      </c>
      <c r="O18" s="24">
        <f t="shared" si="3"/>
        <v>2581.68</v>
      </c>
      <c r="P18" s="24">
        <f t="shared" si="3"/>
        <v>435.3215</v>
      </c>
      <c r="Q18" s="24">
        <f t="shared" si="3"/>
        <v>1367.673</v>
      </c>
      <c r="R18" s="24">
        <f t="shared" si="3"/>
        <v>4623.774</v>
      </c>
      <c r="S18" s="24">
        <f t="shared" si="3"/>
        <v>6129.238</v>
      </c>
      <c r="T18" s="24">
        <f t="shared" si="3"/>
        <v>1575.784</v>
      </c>
      <c r="U18" s="24">
        <f t="shared" si="3"/>
        <v>263.621</v>
      </c>
      <c r="V18" s="24">
        <f t="shared" si="3"/>
        <v>-0.075</v>
      </c>
      <c r="W18" s="24">
        <f t="shared" si="3"/>
        <v>-0.057</v>
      </c>
      <c r="X18" s="24">
        <f t="shared" si="3"/>
        <v>-1.309</v>
      </c>
      <c r="Y18" s="24">
        <f t="shared" si="3"/>
        <v>0</v>
      </c>
      <c r="Z18" s="24">
        <f t="shared" si="3"/>
        <v>0</v>
      </c>
      <c r="AA18" s="24">
        <f t="shared" si="3"/>
        <v>28901.2345</v>
      </c>
      <c r="AB18" s="53">
        <f aca="true" t="shared" si="4" ref="AB18:AB84">AA18-C18</f>
        <v>-7074.308499999999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4469.7119999999995</v>
      </c>
      <c r="D19" s="18">
        <f t="shared" si="5"/>
        <v>0</v>
      </c>
      <c r="E19" s="18">
        <f t="shared" si="5"/>
        <v>0.19</v>
      </c>
      <c r="F19" s="18">
        <f t="shared" si="5"/>
        <v>0</v>
      </c>
      <c r="G19" s="18">
        <f t="shared" si="5"/>
        <v>137.972</v>
      </c>
      <c r="H19" s="18">
        <f t="shared" si="5"/>
        <v>186.53199999999998</v>
      </c>
      <c r="I19" s="18">
        <f t="shared" si="5"/>
        <v>736.736</v>
      </c>
      <c r="J19" s="18">
        <f t="shared" si="5"/>
        <v>208.65599999999998</v>
      </c>
      <c r="K19" s="18">
        <f t="shared" si="5"/>
        <v>84.766</v>
      </c>
      <c r="L19" s="18">
        <f t="shared" si="5"/>
        <v>6.736</v>
      </c>
      <c r="M19" s="18">
        <f t="shared" si="5"/>
        <v>14.929</v>
      </c>
      <c r="N19" s="18">
        <f t="shared" si="5"/>
        <v>0</v>
      </c>
      <c r="O19" s="18">
        <f t="shared" si="5"/>
        <v>106.651</v>
      </c>
      <c r="P19" s="18">
        <f t="shared" si="5"/>
        <v>154.64950000000002</v>
      </c>
      <c r="Q19" s="18">
        <f t="shared" si="5"/>
        <v>14.03</v>
      </c>
      <c r="R19" s="18">
        <f t="shared" si="5"/>
        <v>925.613</v>
      </c>
      <c r="S19" s="18">
        <f t="shared" si="5"/>
        <v>135.615</v>
      </c>
      <c r="T19" s="18">
        <f>SUM(T20:T22)</f>
        <v>438.90299999999996</v>
      </c>
      <c r="U19" s="18">
        <f t="shared" si="5"/>
        <v>97.84</v>
      </c>
      <c r="V19" s="18">
        <f t="shared" si="5"/>
        <v>0</v>
      </c>
      <c r="W19" s="18">
        <f t="shared" si="5"/>
        <v>0</v>
      </c>
      <c r="X19" s="18">
        <f t="shared" si="5"/>
        <v>-1.309</v>
      </c>
      <c r="Y19" s="18">
        <f t="shared" si="5"/>
        <v>0</v>
      </c>
      <c r="Z19" s="18">
        <f>SUM(Z20:Z22)</f>
        <v>0</v>
      </c>
      <c r="AA19" s="18">
        <f t="shared" si="5"/>
        <v>3248.5095</v>
      </c>
      <c r="AB19" s="53">
        <f t="shared" si="4"/>
        <v>-1221.2024999999994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f>2952.794+200</f>
        <v>3152.794</v>
      </c>
      <c r="D20" s="7"/>
      <c r="E20" s="7"/>
      <c r="F20" s="7"/>
      <c r="G20" s="7">
        <v>30.935</v>
      </c>
      <c r="H20" s="7">
        <v>178.357</v>
      </c>
      <c r="I20" s="7">
        <v>703.929</v>
      </c>
      <c r="J20" s="8">
        <v>206.92</v>
      </c>
      <c r="K20" s="7"/>
      <c r="L20" s="7"/>
      <c r="M20" s="7">
        <v>10.967</v>
      </c>
      <c r="N20" s="7"/>
      <c r="O20" s="7"/>
      <c r="P20" s="7"/>
      <c r="Q20" s="7"/>
      <c r="R20" s="7">
        <v>901.623</v>
      </c>
      <c r="S20" s="7">
        <v>123.987</v>
      </c>
      <c r="T20" s="7">
        <v>450.397</v>
      </c>
      <c r="U20" s="7">
        <v>97.66</v>
      </c>
      <c r="V20" s="8"/>
      <c r="W20" s="8"/>
      <c r="X20" s="8"/>
      <c r="Y20" s="7"/>
      <c r="Z20" s="7"/>
      <c r="AA20" s="7">
        <f>SUM(D20:Z20)</f>
        <v>2704.775</v>
      </c>
      <c r="AB20" s="87">
        <f t="shared" si="4"/>
        <v>-448.0189999999998</v>
      </c>
      <c r="AC20" s="85"/>
      <c r="AD20" s="84" t="s">
        <v>48</v>
      </c>
      <c r="AE20" s="86">
        <f>AA19</f>
        <v>3248.5095</v>
      </c>
      <c r="AF20" s="83"/>
      <c r="AG20" s="83"/>
    </row>
    <row r="21" spans="2:33" ht="15.75">
      <c r="B21" s="3" t="s">
        <v>1</v>
      </c>
      <c r="C21" s="23">
        <v>330.458</v>
      </c>
      <c r="D21" s="7"/>
      <c r="E21" s="7"/>
      <c r="F21" s="7"/>
      <c r="G21" s="7"/>
      <c r="H21" s="7">
        <v>1.908</v>
      </c>
      <c r="I21" s="7">
        <v>13.193</v>
      </c>
      <c r="J21" s="8"/>
      <c r="K21" s="7"/>
      <c r="L21" s="7"/>
      <c r="M21" s="7">
        <v>3.722</v>
      </c>
      <c r="N21" s="7"/>
      <c r="O21" s="7">
        <v>2.285</v>
      </c>
      <c r="P21" s="7">
        <v>0.0165</v>
      </c>
      <c r="Q21" s="7">
        <v>0.51</v>
      </c>
      <c r="R21" s="7"/>
      <c r="S21" s="7"/>
      <c r="T21" s="7">
        <v>-11.73</v>
      </c>
      <c r="U21" s="7"/>
      <c r="V21" s="8"/>
      <c r="W21" s="8"/>
      <c r="X21" s="8"/>
      <c r="Y21" s="7"/>
      <c r="Z21" s="7"/>
      <c r="AA21" s="7">
        <f>SUM(D21:Z21)</f>
        <v>9.904500000000002</v>
      </c>
      <c r="AB21" s="87">
        <f t="shared" si="4"/>
        <v>-320.55350000000004</v>
      </c>
      <c r="AC21" s="85"/>
      <c r="AD21" s="84" t="s">
        <v>15</v>
      </c>
      <c r="AE21" s="86">
        <f>AA23</f>
        <v>12887.067</v>
      </c>
      <c r="AF21" s="83"/>
      <c r="AG21" s="83"/>
    </row>
    <row r="22" spans="2:33" ht="15.75">
      <c r="B22" s="3" t="s">
        <v>5</v>
      </c>
      <c r="C22" s="23">
        <f>866.46+120</f>
        <v>986.46</v>
      </c>
      <c r="D22" s="7"/>
      <c r="E22" s="7">
        <v>0.19</v>
      </c>
      <c r="F22" s="7"/>
      <c r="G22" s="7">
        <v>107.037</v>
      </c>
      <c r="H22" s="7">
        <v>6.267</v>
      </c>
      <c r="I22" s="7">
        <v>19.614</v>
      </c>
      <c r="J22" s="7">
        <v>1.736</v>
      </c>
      <c r="K22" s="7">
        <v>84.766</v>
      </c>
      <c r="L22" s="7">
        <v>6.736</v>
      </c>
      <c r="M22" s="7">
        <v>0.24</v>
      </c>
      <c r="N22" s="7"/>
      <c r="O22" s="7">
        <v>104.366</v>
      </c>
      <c r="P22" s="7">
        <v>154.633</v>
      </c>
      <c r="Q22" s="7">
        <v>13.52</v>
      </c>
      <c r="R22" s="7">
        <v>23.99</v>
      </c>
      <c r="S22" s="7">
        <v>11.628</v>
      </c>
      <c r="T22" s="7">
        <v>0.236</v>
      </c>
      <c r="U22" s="7">
        <v>0.18</v>
      </c>
      <c r="V22" s="7"/>
      <c r="W22" s="7"/>
      <c r="X22" s="7">
        <v>-1.309</v>
      </c>
      <c r="Y22" s="7"/>
      <c r="Z22" s="7"/>
      <c r="AA22" s="7">
        <f>SUM(D22:Z22)</f>
        <v>533.83</v>
      </c>
      <c r="AB22" s="87">
        <f t="shared" si="4"/>
        <v>-452.63</v>
      </c>
      <c r="AC22" s="85"/>
      <c r="AD22" s="84" t="s">
        <v>52</v>
      </c>
      <c r="AE22" s="86">
        <f>$AA$29+$AA$31</f>
        <v>136.464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20868.03</v>
      </c>
      <c r="D23" s="18">
        <f t="shared" si="6"/>
        <v>0</v>
      </c>
      <c r="E23" s="18">
        <f t="shared" si="6"/>
        <v>92.009</v>
      </c>
      <c r="F23" s="18">
        <f t="shared" si="6"/>
        <v>0</v>
      </c>
      <c r="G23" s="18">
        <f t="shared" si="6"/>
        <v>1051.768</v>
      </c>
      <c r="H23" s="18">
        <f t="shared" si="6"/>
        <v>203.963</v>
      </c>
      <c r="I23" s="18">
        <f t="shared" si="6"/>
        <v>1367.783</v>
      </c>
      <c r="J23" s="18">
        <f t="shared" si="6"/>
        <v>982.135</v>
      </c>
      <c r="K23" s="18">
        <f t="shared" si="6"/>
        <v>45.617999999999995</v>
      </c>
      <c r="L23" s="18">
        <f t="shared" si="6"/>
        <v>0</v>
      </c>
      <c r="M23" s="18">
        <f t="shared" si="6"/>
        <v>254.59199999999998</v>
      </c>
      <c r="N23" s="18">
        <f t="shared" si="6"/>
        <v>0</v>
      </c>
      <c r="O23" s="18">
        <f t="shared" si="6"/>
        <v>1112.5949999999998</v>
      </c>
      <c r="P23" s="18">
        <f t="shared" si="6"/>
        <v>0</v>
      </c>
      <c r="Q23" s="18">
        <f>SUM(Q24:Q28)</f>
        <v>941.113</v>
      </c>
      <c r="R23" s="18">
        <f t="shared" si="6"/>
        <v>1919.925</v>
      </c>
      <c r="S23" s="18">
        <f t="shared" si="6"/>
        <v>4910.118</v>
      </c>
      <c r="T23" s="18">
        <f>SUM(T24:T28)</f>
        <v>1.429</v>
      </c>
      <c r="U23" s="18">
        <f>SUM(U24:U28)</f>
        <v>4.151</v>
      </c>
      <c r="V23" s="18">
        <f t="shared" si="6"/>
        <v>-0.075</v>
      </c>
      <c r="W23" s="18">
        <f t="shared" si="6"/>
        <v>-0.057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12887.067</v>
      </c>
      <c r="AB23" s="87">
        <f t="shared" si="4"/>
        <v>-7980.963</v>
      </c>
      <c r="AC23" s="82"/>
      <c r="AD23" s="84" t="s">
        <v>16</v>
      </c>
      <c r="AE23" s="86">
        <f>$AA$32+$AA$33+$AA$35+$AA$41+$AA$45+$AA$34</f>
        <v>1191.9909999999998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f>16891.885+15.952-139</f>
        <v>16768.837</v>
      </c>
      <c r="D24" s="7"/>
      <c r="E24" s="7">
        <v>6.4</v>
      </c>
      <c r="F24" s="7"/>
      <c r="G24" s="7">
        <f>269.673+669.524+0.876</f>
        <v>940.073</v>
      </c>
      <c r="H24" s="7">
        <v>197.551</v>
      </c>
      <c r="I24" s="7">
        <f>952.135+15.25+289.868</f>
        <v>1257.253</v>
      </c>
      <c r="J24" s="8">
        <f>310.6+435.9</f>
        <v>746.5</v>
      </c>
      <c r="K24" s="7"/>
      <c r="L24" s="7"/>
      <c r="M24" s="7">
        <f>8+16.9</f>
        <v>24.9</v>
      </c>
      <c r="N24" s="7"/>
      <c r="O24" s="7">
        <f>295.78+556.53</f>
        <v>852.31</v>
      </c>
      <c r="P24" s="7"/>
      <c r="Q24" s="7">
        <f>407.727+330.464+4.183</f>
        <v>742.374</v>
      </c>
      <c r="R24" s="25">
        <f>1172.945+651.324+0.797</f>
        <v>1825.0659999999998</v>
      </c>
      <c r="S24" s="7">
        <f>2217.165+45.243+2463.236+8.048</f>
        <v>4733.692</v>
      </c>
      <c r="T24" s="7"/>
      <c r="U24" s="7"/>
      <c r="V24" s="8"/>
      <c r="W24" s="8"/>
      <c r="X24" s="8"/>
      <c r="Y24" s="7"/>
      <c r="Z24" s="7"/>
      <c r="AA24" s="7">
        <f>SUM(D24:Z24)</f>
        <v>11326.118999999999</v>
      </c>
      <c r="AB24" s="87">
        <f t="shared" si="4"/>
        <v>-5442.718000000001</v>
      </c>
      <c r="AC24" s="85"/>
      <c r="AD24" s="84" t="s">
        <v>17</v>
      </c>
      <c r="AE24" s="86">
        <f>$AA$63+$AA$66+AA73</f>
        <v>1759.8120000000001</v>
      </c>
      <c r="AF24" s="83"/>
      <c r="AG24" s="83"/>
    </row>
    <row r="25" spans="2:33" ht="15.75">
      <c r="B25" s="3" t="s">
        <v>2</v>
      </c>
      <c r="C25" s="23">
        <v>16.518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>
        <v>0.799</v>
      </c>
      <c r="P25" s="7"/>
      <c r="Q25" s="7">
        <v>1.998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2.797</v>
      </c>
      <c r="AB25" s="87">
        <f t="shared" si="4"/>
        <v>-13.721</v>
      </c>
      <c r="AC25" s="85"/>
      <c r="AD25" s="84" t="s">
        <v>18</v>
      </c>
      <c r="AE25" s="86">
        <f>$AA$52</f>
        <v>600.3</v>
      </c>
      <c r="AF25" s="83"/>
      <c r="AG25" s="83"/>
    </row>
    <row r="26" spans="2:33" ht="15.75">
      <c r="B26" s="3" t="s">
        <v>0</v>
      </c>
      <c r="C26" s="23">
        <v>822.966</v>
      </c>
      <c r="D26" s="7"/>
      <c r="E26" s="7">
        <v>19.255</v>
      </c>
      <c r="F26" s="7"/>
      <c r="G26" s="7">
        <v>6.104</v>
      </c>
      <c r="H26" s="7"/>
      <c r="I26" s="7">
        <v>52.903</v>
      </c>
      <c r="J26" s="8">
        <v>56.808</v>
      </c>
      <c r="K26" s="7">
        <v>9.106</v>
      </c>
      <c r="L26" s="7"/>
      <c r="M26" s="7">
        <v>110.707</v>
      </c>
      <c r="N26" s="7"/>
      <c r="O26" s="7">
        <v>68.905</v>
      </c>
      <c r="P26" s="7"/>
      <c r="Q26" s="7">
        <v>85.217</v>
      </c>
      <c r="R26" s="25">
        <v>23.506</v>
      </c>
      <c r="S26" s="7">
        <v>67.494</v>
      </c>
      <c r="T26" s="7"/>
      <c r="U26" s="7"/>
      <c r="V26" s="8"/>
      <c r="W26" s="8"/>
      <c r="X26" s="8"/>
      <c r="Y26" s="7"/>
      <c r="Z26" s="7"/>
      <c r="AA26" s="7">
        <f>SUM(D26:Z26)</f>
        <v>500.005</v>
      </c>
      <c r="AB26" s="87">
        <f t="shared" si="4"/>
        <v>-322.961</v>
      </c>
      <c r="AC26" s="85"/>
      <c r="AD26" s="84" t="s">
        <v>19</v>
      </c>
      <c r="AE26" s="86">
        <f>$AA$57</f>
        <v>477.9050000000001</v>
      </c>
      <c r="AF26" s="83"/>
      <c r="AG26" s="83"/>
    </row>
    <row r="27" spans="2:33" ht="15.75">
      <c r="B27" s="3" t="s">
        <v>1</v>
      </c>
      <c r="C27" s="23">
        <f>984.135+139</f>
        <v>1123.135</v>
      </c>
      <c r="D27" s="7"/>
      <c r="E27" s="7">
        <v>35.234</v>
      </c>
      <c r="F27" s="7"/>
      <c r="G27" s="7">
        <v>40.895</v>
      </c>
      <c r="H27" s="7">
        <v>4.958</v>
      </c>
      <c r="I27" s="7">
        <v>27.627</v>
      </c>
      <c r="J27" s="8">
        <v>144.041</v>
      </c>
      <c r="K27" s="7">
        <v>28.328</v>
      </c>
      <c r="L27" s="7"/>
      <c r="M27" s="7">
        <v>58.375</v>
      </c>
      <c r="N27" s="7"/>
      <c r="O27" s="7">
        <v>96.295</v>
      </c>
      <c r="P27" s="7"/>
      <c r="Q27" s="7">
        <v>68.424</v>
      </c>
      <c r="R27" s="25">
        <v>61.133</v>
      </c>
      <c r="S27" s="7">
        <v>46.703</v>
      </c>
      <c r="T27" s="7">
        <v>-0.172</v>
      </c>
      <c r="U27" s="7"/>
      <c r="V27" s="8">
        <v>-0.075</v>
      </c>
      <c r="W27" s="8">
        <v>-0.057</v>
      </c>
      <c r="X27" s="8"/>
      <c r="Y27" s="7"/>
      <c r="Z27" s="7"/>
      <c r="AA27" s="7">
        <f>SUM(D27:Z27)</f>
        <v>611.709</v>
      </c>
      <c r="AB27" s="87">
        <f t="shared" si="4"/>
        <v>-511.42600000000004</v>
      </c>
      <c r="AC27" s="85"/>
      <c r="AD27" s="84" t="s">
        <v>20</v>
      </c>
      <c r="AE27" s="86">
        <f>$AA$49+$AA$70+$AA$75+$AA$76+$AA$80+$AA$72+$AA$74+$AA$77+$AA$78+$AA$79</f>
        <v>7560.673999999999</v>
      </c>
      <c r="AF27" s="83"/>
      <c r="AG27" s="83"/>
    </row>
    <row r="28" spans="2:33" ht="15.75">
      <c r="B28" s="3" t="s">
        <v>5</v>
      </c>
      <c r="C28" s="23">
        <f>1705.501+431.073</f>
        <v>2136.574</v>
      </c>
      <c r="D28" s="7"/>
      <c r="E28" s="7">
        <v>31.12</v>
      </c>
      <c r="F28" s="7"/>
      <c r="G28" s="7">
        <v>64.696</v>
      </c>
      <c r="H28" s="7">
        <v>1.454</v>
      </c>
      <c r="I28" s="7">
        <v>30</v>
      </c>
      <c r="J28" s="7">
        <v>34.786</v>
      </c>
      <c r="K28" s="7">
        <f>6.296+1.888</f>
        <v>8.184000000000001</v>
      </c>
      <c r="L28" s="7"/>
      <c r="M28" s="7">
        <v>60.61</v>
      </c>
      <c r="N28" s="7"/>
      <c r="O28" s="7">
        <f>70.116+24.17</f>
        <v>94.286</v>
      </c>
      <c r="P28" s="7"/>
      <c r="Q28" s="7">
        <f>40.85+2.25</f>
        <v>43.1</v>
      </c>
      <c r="R28" s="7">
        <v>10.22</v>
      </c>
      <c r="S28" s="7">
        <f>38.059+24.17</f>
        <v>62.229</v>
      </c>
      <c r="T28" s="7">
        <v>1.601</v>
      </c>
      <c r="U28" s="7">
        <v>4.151</v>
      </c>
      <c r="V28" s="7"/>
      <c r="W28" s="7"/>
      <c r="X28" s="7"/>
      <c r="Y28" s="7"/>
      <c r="Z28" s="7"/>
      <c r="AA28" s="7">
        <f>SUM(D28:Z28)</f>
        <v>446.437</v>
      </c>
      <c r="AB28" s="87">
        <f t="shared" si="4"/>
        <v>-1690.1370000000002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665.192</v>
      </c>
      <c r="D29" s="18">
        <f aca="true" t="shared" si="7" ref="D29:AA29">D30</f>
        <v>0</v>
      </c>
      <c r="E29" s="18">
        <f t="shared" si="7"/>
        <v>13.874</v>
      </c>
      <c r="F29" s="18">
        <f t="shared" si="7"/>
        <v>0</v>
      </c>
      <c r="G29" s="18">
        <f t="shared" si="7"/>
        <v>11.45</v>
      </c>
      <c r="H29" s="18">
        <f t="shared" si="7"/>
        <v>3.009</v>
      </c>
      <c r="I29" s="18">
        <f t="shared" si="7"/>
        <v>0</v>
      </c>
      <c r="J29" s="18">
        <f t="shared" si="7"/>
        <v>5.116</v>
      </c>
      <c r="K29" s="18">
        <f t="shared" si="7"/>
        <v>47.414</v>
      </c>
      <c r="L29" s="18">
        <f t="shared" si="7"/>
        <v>0</v>
      </c>
      <c r="M29" s="18">
        <f t="shared" si="7"/>
        <v>0.645</v>
      </c>
      <c r="N29" s="18">
        <f t="shared" si="7"/>
        <v>0</v>
      </c>
      <c r="O29" s="18">
        <f t="shared" si="7"/>
        <v>0</v>
      </c>
      <c r="P29" s="18">
        <f t="shared" si="7"/>
        <v>43.20099999999999</v>
      </c>
      <c r="Q29" s="18">
        <f t="shared" si="7"/>
        <v>0</v>
      </c>
      <c r="R29" s="18">
        <f t="shared" si="7"/>
        <v>0.797</v>
      </c>
      <c r="S29" s="18">
        <f t="shared" si="7"/>
        <v>10.958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136.464</v>
      </c>
      <c r="AB29" s="87">
        <f t="shared" si="4"/>
        <v>-528.7280000000001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785.192-120</f>
        <v>665.192</v>
      </c>
      <c r="D30" s="8"/>
      <c r="E30" s="8">
        <v>13.874</v>
      </c>
      <c r="F30" s="8"/>
      <c r="G30" s="8">
        <v>11.45</v>
      </c>
      <c r="H30" s="8">
        <v>3.009</v>
      </c>
      <c r="I30" s="8"/>
      <c r="J30" s="8">
        <v>5.116</v>
      </c>
      <c r="K30" s="8">
        <v>47.414</v>
      </c>
      <c r="L30" s="8"/>
      <c r="M30" s="8">
        <v>0.645</v>
      </c>
      <c r="N30" s="8"/>
      <c r="O30" s="8"/>
      <c r="P30" s="8">
        <f>26.801+16.4</f>
        <v>43.20099999999999</v>
      </c>
      <c r="Q30" s="8"/>
      <c r="R30" s="8">
        <v>0.797</v>
      </c>
      <c r="S30" s="8">
        <v>10.958</v>
      </c>
      <c r="T30" s="8"/>
      <c r="U30" s="8"/>
      <c r="V30" s="8"/>
      <c r="W30" s="8"/>
      <c r="X30" s="8"/>
      <c r="Y30" s="27"/>
      <c r="Z30" s="27"/>
      <c r="AA30" s="7">
        <f>SUM(D30:Z30)</f>
        <v>136.464</v>
      </c>
      <c r="AB30" s="53">
        <f t="shared" si="4"/>
        <v>-528.7280000000001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v>505.447</v>
      </c>
      <c r="D32" s="18"/>
      <c r="E32" s="18">
        <v>2.265</v>
      </c>
      <c r="F32" s="18"/>
      <c r="G32" s="18">
        <v>2.353</v>
      </c>
      <c r="H32" s="18">
        <v>6</v>
      </c>
      <c r="I32" s="18"/>
      <c r="J32" s="18">
        <f>0.55+20.08</f>
        <v>20.63</v>
      </c>
      <c r="K32" s="18"/>
      <c r="L32" s="18">
        <v>132</v>
      </c>
      <c r="M32" s="18">
        <v>0.245</v>
      </c>
      <c r="N32" s="18"/>
      <c r="O32" s="18">
        <v>1</v>
      </c>
      <c r="P32" s="18">
        <v>8.918</v>
      </c>
      <c r="Q32" s="18"/>
      <c r="R32" s="18"/>
      <c r="S32" s="18">
        <v>0.6</v>
      </c>
      <c r="T32" s="18"/>
      <c r="U32" s="60">
        <v>3.937</v>
      </c>
      <c r="V32" s="60"/>
      <c r="W32" s="60"/>
      <c r="X32" s="18"/>
      <c r="Y32" s="18"/>
      <c r="Z32" s="18"/>
      <c r="AA32" s="18">
        <f>SUM(D32:Z32)</f>
        <v>177.948</v>
      </c>
      <c r="AB32" s="53">
        <f t="shared" si="4"/>
        <v>-327.499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f>532.518-18.545</f>
        <v>513.9730000000001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v>122.38</v>
      </c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122.38</v>
      </c>
      <c r="AB33" s="53">
        <f t="shared" si="4"/>
        <v>-391.5930000000001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63.352</v>
      </c>
      <c r="D34" s="18"/>
      <c r="E34" s="18"/>
      <c r="F34" s="18"/>
      <c r="G34" s="18">
        <v>30.729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30.729</v>
      </c>
      <c r="AB34" s="53">
        <f t="shared" si="4"/>
        <v>-32.623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677.165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0</v>
      </c>
      <c r="H35" s="18">
        <f t="shared" si="8"/>
        <v>9.276</v>
      </c>
      <c r="I35" s="18">
        <f t="shared" si="8"/>
        <v>0</v>
      </c>
      <c r="J35" s="18">
        <f t="shared" si="8"/>
        <v>152.34099999999998</v>
      </c>
      <c r="K35" s="18">
        <f t="shared" si="8"/>
        <v>0</v>
      </c>
      <c r="L35" s="18">
        <f t="shared" si="8"/>
        <v>3.405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498.277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663.2989999999999</v>
      </c>
      <c r="AB35" s="53">
        <f t="shared" si="4"/>
        <v>-13.8660000000001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f>608.577+28.145</f>
        <v>636.722</v>
      </c>
      <c r="D36" s="7"/>
      <c r="E36" s="7"/>
      <c r="F36" s="7"/>
      <c r="G36" s="7"/>
      <c r="H36" s="7"/>
      <c r="I36" s="7"/>
      <c r="J36" s="8">
        <v>144.801</v>
      </c>
      <c r="K36" s="7"/>
      <c r="L36" s="7"/>
      <c r="M36" s="7"/>
      <c r="N36" s="7"/>
      <c r="O36" s="7"/>
      <c r="P36" s="25"/>
      <c r="Q36" s="7"/>
      <c r="R36" s="25"/>
      <c r="S36" s="7"/>
      <c r="T36" s="7">
        <v>491.916</v>
      </c>
      <c r="U36" s="7"/>
      <c r="V36" s="8"/>
      <c r="W36" s="8"/>
      <c r="X36" s="7"/>
      <c r="Y36" s="7"/>
      <c r="Z36" s="7"/>
      <c r="AA36" s="7">
        <f>SUM(D36:Z36)</f>
        <v>636.717</v>
      </c>
      <c r="AB36" s="53">
        <f t="shared" si="4"/>
        <v>-0.0049999999999954525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2.403</v>
      </c>
      <c r="D37" s="7"/>
      <c r="E37" s="7"/>
      <c r="F37" s="7"/>
      <c r="G37" s="7"/>
      <c r="H37" s="7">
        <v>1.799</v>
      </c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1.799</v>
      </c>
      <c r="AB37" s="53">
        <f t="shared" si="4"/>
        <v>-0.6040000000000001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f>25.245-4.6</f>
        <v>20.645000000000003</v>
      </c>
      <c r="D39" s="7"/>
      <c r="E39" s="7"/>
      <c r="F39" s="7"/>
      <c r="G39" s="7"/>
      <c r="H39" s="7">
        <v>6.501</v>
      </c>
      <c r="I39" s="7"/>
      <c r="J39" s="7">
        <v>1.142</v>
      </c>
      <c r="K39" s="7"/>
      <c r="L39" s="7">
        <v>3.405</v>
      </c>
      <c r="M39" s="7"/>
      <c r="N39" s="7"/>
      <c r="O39" s="7"/>
      <c r="P39" s="25"/>
      <c r="Q39" s="7"/>
      <c r="R39" s="25"/>
      <c r="S39" s="7"/>
      <c r="T39" s="7">
        <v>1.52</v>
      </c>
      <c r="U39" s="7"/>
      <c r="V39" s="8"/>
      <c r="W39" s="8"/>
      <c r="X39" s="7"/>
      <c r="Y39" s="7"/>
      <c r="Z39" s="7"/>
      <c r="AA39" s="7">
        <f>SUM(D39:Z39)</f>
        <v>12.568</v>
      </c>
      <c r="AB39" s="53">
        <f t="shared" si="4"/>
        <v>-8.077000000000004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19.095-5</f>
        <v>14.094999999999999</v>
      </c>
      <c r="D40" s="7"/>
      <c r="E40" s="7"/>
      <c r="F40" s="7"/>
      <c r="G40" s="7"/>
      <c r="H40" s="7">
        <v>0.976</v>
      </c>
      <c r="I40" s="7"/>
      <c r="J40" s="7">
        <v>6.398</v>
      </c>
      <c r="K40" s="7"/>
      <c r="L40" s="7"/>
      <c r="M40" s="7"/>
      <c r="N40" s="7"/>
      <c r="O40" s="7"/>
      <c r="P40" s="7"/>
      <c r="Q40" s="7"/>
      <c r="R40" s="7"/>
      <c r="S40" s="7"/>
      <c r="T40" s="7">
        <v>1.541</v>
      </c>
      <c r="U40" s="7"/>
      <c r="V40" s="7"/>
      <c r="W40" s="7"/>
      <c r="X40" s="7"/>
      <c r="Y40" s="7"/>
      <c r="Z40" s="7"/>
      <c r="AA40" s="7">
        <f>SUM(D40:Z40)</f>
        <v>8.915</v>
      </c>
      <c r="AB40" s="53">
        <f t="shared" si="4"/>
        <v>-5.18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257.199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28.407000000000004</v>
      </c>
      <c r="K41" s="18">
        <f t="shared" si="10"/>
        <v>0</v>
      </c>
      <c r="L41" s="18">
        <f t="shared" si="10"/>
        <v>0</v>
      </c>
      <c r="M41" s="18">
        <f t="shared" si="10"/>
        <v>2.396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96.091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126.894</v>
      </c>
      <c r="AB41" s="53">
        <f t="shared" si="4"/>
        <v>-130.305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229.507</v>
      </c>
      <c r="D42" s="7"/>
      <c r="E42" s="7"/>
      <c r="F42" s="7"/>
      <c r="G42" s="7"/>
      <c r="H42" s="7"/>
      <c r="I42" s="7"/>
      <c r="J42" s="8">
        <v>22.856</v>
      </c>
      <c r="K42" s="7"/>
      <c r="L42" s="7"/>
      <c r="M42" s="7"/>
      <c r="N42" s="7"/>
      <c r="O42" s="7"/>
      <c r="P42" s="25"/>
      <c r="Q42" s="7"/>
      <c r="R42" s="25"/>
      <c r="S42" s="7">
        <v>92.452</v>
      </c>
      <c r="T42" s="7"/>
      <c r="U42" s="7"/>
      <c r="V42" s="8"/>
      <c r="W42" s="8"/>
      <c r="X42" s="7"/>
      <c r="Y42" s="7"/>
      <c r="Z42" s="7"/>
      <c r="AA42" s="7">
        <f>SUM(D42:Z42)</f>
        <v>115.30799999999999</v>
      </c>
      <c r="AB42" s="53">
        <f t="shared" si="4"/>
        <v>-114.19900000000001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16.082</v>
      </c>
      <c r="D43" s="7"/>
      <c r="E43" s="7"/>
      <c r="F43" s="7"/>
      <c r="G43" s="7"/>
      <c r="H43" s="7"/>
      <c r="I43" s="7"/>
      <c r="J43" s="8">
        <v>4.335</v>
      </c>
      <c r="K43" s="7"/>
      <c r="L43" s="7"/>
      <c r="M43" s="7">
        <v>1.556</v>
      </c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5.891</v>
      </c>
      <c r="AB43" s="53">
        <f t="shared" si="4"/>
        <v>-10.191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11.61</v>
      </c>
      <c r="D44" s="7"/>
      <c r="E44" s="7"/>
      <c r="F44" s="7"/>
      <c r="G44" s="7"/>
      <c r="H44" s="7"/>
      <c r="I44" s="7"/>
      <c r="J44" s="7">
        <v>1.216</v>
      </c>
      <c r="K44" s="7"/>
      <c r="L44" s="7"/>
      <c r="M44" s="7">
        <v>0.84</v>
      </c>
      <c r="N44" s="7"/>
      <c r="O44" s="7"/>
      <c r="P44" s="7"/>
      <c r="Q44" s="7"/>
      <c r="R44" s="7"/>
      <c r="S44" s="7">
        <v>3.639</v>
      </c>
      <c r="T44" s="7"/>
      <c r="U44" s="7"/>
      <c r="V44" s="7"/>
      <c r="W44" s="7"/>
      <c r="X44" s="7"/>
      <c r="Y44" s="7"/>
      <c r="Z44" s="7"/>
      <c r="AA44" s="7">
        <f>SUM(D44:Z44)</f>
        <v>5.695</v>
      </c>
      <c r="AB44" s="53">
        <f t="shared" si="4"/>
        <v>-5.914999999999999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210.18099999999998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29.964</v>
      </c>
      <c r="H45" s="18">
        <f t="shared" si="12"/>
        <v>0.949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6</v>
      </c>
      <c r="N45" s="18">
        <f t="shared" si="12"/>
        <v>0</v>
      </c>
      <c r="O45" s="18">
        <f t="shared" si="12"/>
        <v>0</v>
      </c>
      <c r="P45" s="18">
        <f t="shared" si="12"/>
        <v>33.828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70.741</v>
      </c>
      <c r="AB45" s="53">
        <f t="shared" si="4"/>
        <v>-139.44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195.587</v>
      </c>
      <c r="D46" s="7"/>
      <c r="E46" s="7"/>
      <c r="F46" s="7"/>
      <c r="G46" s="7">
        <v>29.673</v>
      </c>
      <c r="H46" s="7"/>
      <c r="I46" s="7"/>
      <c r="J46" s="8"/>
      <c r="K46" s="7"/>
      <c r="L46" s="7"/>
      <c r="M46" s="7"/>
      <c r="N46" s="7"/>
      <c r="O46" s="7"/>
      <c r="P46" s="7">
        <v>33.828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63.501000000000005</v>
      </c>
      <c r="AB46" s="53">
        <f t="shared" si="4"/>
        <v>-132.08599999999998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4.95</v>
      </c>
      <c r="D47" s="7"/>
      <c r="E47" s="7"/>
      <c r="F47" s="7"/>
      <c r="G47" s="7"/>
      <c r="H47" s="7">
        <v>0.949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0.949</v>
      </c>
      <c r="AB47" s="53">
        <f t="shared" si="4"/>
        <v>-4.001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9.644</v>
      </c>
      <c r="D48" s="7"/>
      <c r="E48" s="7"/>
      <c r="F48" s="7"/>
      <c r="G48" s="7">
        <v>0.291</v>
      </c>
      <c r="H48" s="7"/>
      <c r="I48" s="7"/>
      <c r="J48" s="7"/>
      <c r="K48" s="7"/>
      <c r="L48" s="7"/>
      <c r="M48" s="7">
        <v>6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6.291</v>
      </c>
      <c r="AB48" s="53">
        <f t="shared" si="4"/>
        <v>-3.3529999999999998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46.072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17.206</v>
      </c>
      <c r="H49" s="18">
        <f t="shared" si="13"/>
        <v>0</v>
      </c>
      <c r="I49" s="18">
        <f t="shared" si="13"/>
        <v>0</v>
      </c>
      <c r="J49" s="18">
        <f t="shared" si="13"/>
        <v>2.8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7.59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27.596</v>
      </c>
      <c r="AB49" s="53">
        <f t="shared" si="4"/>
        <v>-18.476000000000003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22.74</v>
      </c>
      <c r="D50" s="8"/>
      <c r="E50" s="8"/>
      <c r="F50" s="8"/>
      <c r="G50" s="8"/>
      <c r="H50" s="8"/>
      <c r="I50" s="8"/>
      <c r="J50" s="8">
        <v>2.8</v>
      </c>
      <c r="K50" s="8"/>
      <c r="L50" s="8"/>
      <c r="M50" s="8"/>
      <c r="N50" s="8"/>
      <c r="O50" s="8"/>
      <c r="P50" s="8"/>
      <c r="Q50" s="8"/>
      <c r="R50" s="8"/>
      <c r="S50" s="8"/>
      <c r="T50" s="8">
        <v>7.59</v>
      </c>
      <c r="U50" s="8"/>
      <c r="V50" s="8"/>
      <c r="W50" s="8"/>
      <c r="X50" s="8"/>
      <c r="Y50" s="8"/>
      <c r="Z50" s="8"/>
      <c r="AA50" s="7">
        <f>SUM(D50:Z50)</f>
        <v>10.39</v>
      </c>
      <c r="AB50" s="53">
        <f t="shared" si="4"/>
        <v>-12.349999999999998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23.332</v>
      </c>
      <c r="D51" s="8"/>
      <c r="E51" s="8"/>
      <c r="F51" s="8"/>
      <c r="G51" s="8">
        <v>17.206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17.206</v>
      </c>
      <c r="AB51" s="53">
        <f t="shared" si="4"/>
        <v>-6.126000000000001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950.549</v>
      </c>
      <c r="D52" s="18">
        <f t="shared" si="14"/>
        <v>0.9</v>
      </c>
      <c r="E52" s="18">
        <f t="shared" si="14"/>
        <v>0.06</v>
      </c>
      <c r="F52" s="18">
        <f t="shared" si="14"/>
        <v>0</v>
      </c>
      <c r="G52" s="18">
        <f t="shared" si="14"/>
        <v>2.3</v>
      </c>
      <c r="H52" s="18">
        <f t="shared" si="14"/>
        <v>0</v>
      </c>
      <c r="I52" s="18">
        <f t="shared" si="14"/>
        <v>171.784</v>
      </c>
      <c r="J52" s="18">
        <f t="shared" si="14"/>
        <v>8.071</v>
      </c>
      <c r="K52" s="18">
        <f t="shared" si="14"/>
        <v>0</v>
      </c>
      <c r="L52" s="18">
        <f t="shared" si="14"/>
        <v>3.7</v>
      </c>
      <c r="M52" s="18">
        <f t="shared" si="14"/>
        <v>0</v>
      </c>
      <c r="N52" s="18">
        <f t="shared" si="14"/>
        <v>0</v>
      </c>
      <c r="O52" s="18">
        <f t="shared" si="14"/>
        <v>74.109</v>
      </c>
      <c r="P52" s="18">
        <f t="shared" si="14"/>
        <v>25.5</v>
      </c>
      <c r="Q52" s="18">
        <f t="shared" si="14"/>
        <v>8.5</v>
      </c>
      <c r="R52" s="18">
        <f t="shared" si="14"/>
        <v>144.519</v>
      </c>
      <c r="S52" s="18">
        <f t="shared" si="14"/>
        <v>160.857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600.3</v>
      </c>
      <c r="AB52" s="53">
        <f t="shared" si="4"/>
        <v>-350.249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563.959</v>
      </c>
      <c r="D53" s="7"/>
      <c r="E53" s="7"/>
      <c r="F53" s="7"/>
      <c r="G53" s="7"/>
      <c r="H53" s="7"/>
      <c r="I53" s="7">
        <v>137.302</v>
      </c>
      <c r="J53" s="8"/>
      <c r="K53" s="7"/>
      <c r="L53" s="7"/>
      <c r="M53" s="7"/>
      <c r="N53" s="7"/>
      <c r="O53" s="7"/>
      <c r="P53" s="25"/>
      <c r="Q53" s="7"/>
      <c r="R53" s="25">
        <v>144.519</v>
      </c>
      <c r="S53" s="7">
        <v>160.754</v>
      </c>
      <c r="T53" s="7"/>
      <c r="U53" s="7"/>
      <c r="V53" s="8"/>
      <c r="W53" s="8"/>
      <c r="X53" s="8"/>
      <c r="Y53" s="7"/>
      <c r="Z53" s="7"/>
      <c r="AA53" s="7">
        <f>SUM(D53:Z53)</f>
        <v>442.57500000000005</v>
      </c>
      <c r="AB53" s="53">
        <f t="shared" si="4"/>
        <v>-121.3839999999999</v>
      </c>
    </row>
    <row r="54" spans="2:28" ht="15.75">
      <c r="B54" s="3" t="s">
        <v>1</v>
      </c>
      <c r="C54" s="23">
        <f>93.804+0.3</f>
        <v>94.104</v>
      </c>
      <c r="D54" s="7"/>
      <c r="E54" s="7"/>
      <c r="F54" s="7"/>
      <c r="G54" s="7"/>
      <c r="H54" s="7"/>
      <c r="I54" s="7">
        <v>11.346</v>
      </c>
      <c r="J54" s="8">
        <v>8.071</v>
      </c>
      <c r="K54" s="7"/>
      <c r="L54" s="7"/>
      <c r="M54" s="7"/>
      <c r="N54" s="7"/>
      <c r="O54" s="7">
        <v>3.887</v>
      </c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23.304000000000002</v>
      </c>
      <c r="AB54" s="53">
        <f t="shared" si="4"/>
        <v>-70.8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.75">
      <c r="B56" s="3" t="s">
        <v>5</v>
      </c>
      <c r="C56" s="23">
        <f>286.166-0.3</f>
        <v>285.866</v>
      </c>
      <c r="D56" s="7">
        <v>0.9</v>
      </c>
      <c r="E56" s="7">
        <v>0.06</v>
      </c>
      <c r="F56" s="7"/>
      <c r="G56" s="7">
        <v>2.3</v>
      </c>
      <c r="H56" s="7"/>
      <c r="I56" s="7">
        <v>23.136</v>
      </c>
      <c r="J56" s="7"/>
      <c r="K56" s="7"/>
      <c r="L56" s="7">
        <v>3.7</v>
      </c>
      <c r="M56" s="7"/>
      <c r="N56" s="7"/>
      <c r="O56" s="7">
        <v>70.222</v>
      </c>
      <c r="P56" s="7">
        <v>25.5</v>
      </c>
      <c r="Q56" s="7">
        <v>8.5</v>
      </c>
      <c r="R56" s="7"/>
      <c r="S56" s="7">
        <v>0.103</v>
      </c>
      <c r="T56" s="7"/>
      <c r="U56" s="7"/>
      <c r="V56" s="7"/>
      <c r="W56" s="7"/>
      <c r="X56" s="7"/>
      <c r="Y56" s="7"/>
      <c r="Z56" s="7"/>
      <c r="AA56" s="7">
        <f>SUM(D56:Z56)</f>
        <v>134.421</v>
      </c>
      <c r="AB56" s="53">
        <f t="shared" si="4"/>
        <v>-151.445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760.954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0</v>
      </c>
      <c r="G57" s="18">
        <f t="shared" si="15"/>
        <v>7.907</v>
      </c>
      <c r="H57" s="18">
        <f t="shared" si="15"/>
        <v>0</v>
      </c>
      <c r="I57" s="18">
        <f t="shared" si="15"/>
        <v>111.444</v>
      </c>
      <c r="J57" s="18">
        <f t="shared" si="15"/>
        <v>14.003</v>
      </c>
      <c r="K57" s="18">
        <f t="shared" si="15"/>
        <v>0</v>
      </c>
      <c r="L57" s="18">
        <f t="shared" si="15"/>
        <v>0</v>
      </c>
      <c r="M57" s="18">
        <f t="shared" si="15"/>
        <v>8.14</v>
      </c>
      <c r="N57" s="18">
        <f t="shared" si="15"/>
        <v>0</v>
      </c>
      <c r="O57" s="18">
        <f t="shared" si="15"/>
        <v>18.855</v>
      </c>
      <c r="P57" s="18">
        <f t="shared" si="15"/>
        <v>0</v>
      </c>
      <c r="Q57" s="18">
        <f t="shared" si="15"/>
        <v>14.895</v>
      </c>
      <c r="R57" s="18">
        <f t="shared" si="15"/>
        <v>13.436</v>
      </c>
      <c r="S57" s="18">
        <f t="shared" si="15"/>
        <v>0</v>
      </c>
      <c r="T57" s="18">
        <f>SUM(T58:T62)</f>
        <v>271.74500000000006</v>
      </c>
      <c r="U57" s="18">
        <f>SUM(U58:U62)</f>
        <v>17.48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477.9050000000001</v>
      </c>
      <c r="AB57" s="53">
        <f t="shared" si="4"/>
        <v>-283.04899999999986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442.07</v>
      </c>
      <c r="D58" s="7"/>
      <c r="E58" s="7"/>
      <c r="F58" s="7"/>
      <c r="G58" s="7"/>
      <c r="H58" s="7"/>
      <c r="I58" s="7">
        <v>97.07</v>
      </c>
      <c r="J58" s="25"/>
      <c r="K58" s="7"/>
      <c r="L58" s="7"/>
      <c r="M58" s="7"/>
      <c r="N58" s="7"/>
      <c r="O58" s="7"/>
      <c r="P58" s="25"/>
      <c r="Q58" s="7"/>
      <c r="R58" s="25"/>
      <c r="S58" s="7"/>
      <c r="T58" s="7">
        <v>258.713</v>
      </c>
      <c r="U58" s="7">
        <v>17.48</v>
      </c>
      <c r="V58" s="8"/>
      <c r="W58" s="8"/>
      <c r="X58" s="7"/>
      <c r="Y58" s="7"/>
      <c r="Z58" s="7"/>
      <c r="AA58" s="7">
        <f>SUM(D58:Z58)</f>
        <v>373.26300000000003</v>
      </c>
      <c r="AB58" s="53">
        <f t="shared" si="4"/>
        <v>-68.80699999999996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>
        <v>0.5</v>
      </c>
      <c r="U59" s="7"/>
      <c r="V59" s="8"/>
      <c r="W59" s="8"/>
      <c r="X59" s="7"/>
      <c r="Y59" s="7"/>
      <c r="Z59" s="7"/>
      <c r="AA59" s="7">
        <f>SUM(D59:Z59)</f>
        <v>0.5</v>
      </c>
      <c r="AB59" s="53">
        <f t="shared" si="4"/>
        <v>0</v>
      </c>
    </row>
    <row r="60" spans="2:28" ht="15.75">
      <c r="B60" s="3" t="s">
        <v>1</v>
      </c>
      <c r="C60" s="23">
        <v>38.554</v>
      </c>
      <c r="D60" s="7"/>
      <c r="E60" s="7"/>
      <c r="F60" s="7"/>
      <c r="G60" s="7"/>
      <c r="H60" s="7"/>
      <c r="I60" s="7">
        <v>1.385</v>
      </c>
      <c r="J60" s="8"/>
      <c r="K60" s="7"/>
      <c r="L60" s="7"/>
      <c r="M60" s="7">
        <v>4.187</v>
      </c>
      <c r="N60" s="7"/>
      <c r="O60" s="7"/>
      <c r="P60" s="25"/>
      <c r="Q60" s="7"/>
      <c r="R60" s="7"/>
      <c r="S60" s="7"/>
      <c r="T60" s="7">
        <v>0.576</v>
      </c>
      <c r="U60" s="7"/>
      <c r="V60" s="8"/>
      <c r="W60" s="8"/>
      <c r="X60" s="7"/>
      <c r="Y60" s="7"/>
      <c r="Z60" s="7"/>
      <c r="AA60" s="7">
        <f>SUM(D60:Z60)</f>
        <v>6.148</v>
      </c>
      <c r="AB60" s="53">
        <f t="shared" si="4"/>
        <v>-32.406000000000006</v>
      </c>
    </row>
    <row r="61" spans="2:28" ht="15.75">
      <c r="B61" s="3" t="s">
        <v>10</v>
      </c>
      <c r="C61" s="23">
        <v>61.761</v>
      </c>
      <c r="D61" s="7"/>
      <c r="E61" s="7"/>
      <c r="F61" s="7"/>
      <c r="G61" s="7">
        <v>7.907</v>
      </c>
      <c r="H61" s="7"/>
      <c r="I61" s="7"/>
      <c r="J61" s="8"/>
      <c r="K61" s="7"/>
      <c r="L61" s="7"/>
      <c r="M61" s="7"/>
      <c r="N61" s="7"/>
      <c r="O61" s="7"/>
      <c r="P61" s="7"/>
      <c r="Q61" s="7">
        <v>14.895</v>
      </c>
      <c r="R61" s="7">
        <v>3.536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26.338</v>
      </c>
      <c r="AB61" s="53">
        <f t="shared" si="4"/>
        <v>-35.423</v>
      </c>
    </row>
    <row r="62" spans="2:28" ht="15.75">
      <c r="B62" s="3" t="s">
        <v>5</v>
      </c>
      <c r="C62" s="23">
        <v>218.069</v>
      </c>
      <c r="D62" s="7"/>
      <c r="E62" s="7"/>
      <c r="F62" s="7"/>
      <c r="G62" s="7"/>
      <c r="H62" s="7"/>
      <c r="I62" s="7">
        <v>12.989</v>
      </c>
      <c r="J62" s="7">
        <v>14.003</v>
      </c>
      <c r="K62" s="7"/>
      <c r="L62" s="7"/>
      <c r="M62" s="7">
        <v>3.953</v>
      </c>
      <c r="N62" s="7"/>
      <c r="O62" s="7">
        <v>18.855</v>
      </c>
      <c r="P62" s="7"/>
      <c r="Q62" s="7"/>
      <c r="R62" s="7">
        <v>9.9</v>
      </c>
      <c r="S62" s="7"/>
      <c r="T62" s="7">
        <v>11.956</v>
      </c>
      <c r="U62" s="7"/>
      <c r="V62" s="7"/>
      <c r="W62" s="7"/>
      <c r="X62" s="7"/>
      <c r="Y62" s="7"/>
      <c r="Z62" s="7"/>
      <c r="AA62" s="7">
        <f>SUM(D62:Z62)</f>
        <v>71.65599999999999</v>
      </c>
      <c r="AB62" s="53">
        <f t="shared" si="4"/>
        <v>-146.413</v>
      </c>
    </row>
    <row r="63" spans="2:28" ht="15.75">
      <c r="B63" s="13" t="s">
        <v>44</v>
      </c>
      <c r="C63" s="18">
        <f>C64+C65</f>
        <v>4108.48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0</v>
      </c>
      <c r="G63" s="18">
        <f t="shared" si="16"/>
        <v>0</v>
      </c>
      <c r="H63" s="18">
        <f t="shared" si="16"/>
        <v>751.635</v>
      </c>
      <c r="I63" s="18">
        <f t="shared" si="16"/>
        <v>105.297</v>
      </c>
      <c r="J63" s="18">
        <f t="shared" si="16"/>
        <v>103.828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498.567</v>
      </c>
      <c r="P63" s="18">
        <f t="shared" si="16"/>
        <v>0</v>
      </c>
      <c r="Q63" s="18">
        <f t="shared" si="16"/>
        <v>17.281</v>
      </c>
      <c r="R63" s="18">
        <f t="shared" si="16"/>
        <v>0</v>
      </c>
      <c r="S63" s="18">
        <f t="shared" si="16"/>
        <v>0</v>
      </c>
      <c r="T63" s="18">
        <f>T64+T65</f>
        <v>242.824</v>
      </c>
      <c r="U63" s="18">
        <f t="shared" si="16"/>
        <v>0.38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1719.8120000000001</v>
      </c>
      <c r="AB63" s="53">
        <f t="shared" si="4"/>
        <v>-2388.6679999999997</v>
      </c>
    </row>
    <row r="64" spans="2:28" ht="15.75">
      <c r="B64" s="32" t="s">
        <v>49</v>
      </c>
      <c r="C64" s="27">
        <f>297.858-233</f>
        <v>64.858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-64.858</v>
      </c>
    </row>
    <row r="65" spans="2:28" ht="15.75">
      <c r="B65" s="32" t="s">
        <v>10</v>
      </c>
      <c r="C65" s="27">
        <v>4043.622</v>
      </c>
      <c r="D65" s="8"/>
      <c r="E65" s="8"/>
      <c r="F65" s="8"/>
      <c r="G65" s="8"/>
      <c r="H65" s="8">
        <v>751.635</v>
      </c>
      <c r="I65" s="8">
        <v>105.297</v>
      </c>
      <c r="J65" s="8">
        <v>103.828</v>
      </c>
      <c r="K65" s="8"/>
      <c r="L65" s="8"/>
      <c r="M65" s="8"/>
      <c r="N65" s="8"/>
      <c r="O65" s="8">
        <v>498.567</v>
      </c>
      <c r="P65" s="8"/>
      <c r="Q65" s="8">
        <v>17.281</v>
      </c>
      <c r="R65" s="8"/>
      <c r="S65" s="8"/>
      <c r="T65" s="8">
        <v>242.824</v>
      </c>
      <c r="U65" s="8">
        <v>0.38</v>
      </c>
      <c r="V65" s="8"/>
      <c r="W65" s="8"/>
      <c r="X65" s="8"/>
      <c r="Y65" s="8"/>
      <c r="Z65" s="8"/>
      <c r="AA65" s="8">
        <f>SUM(D65:Z65)</f>
        <v>1719.8120000000001</v>
      </c>
      <c r="AB65" s="53">
        <f t="shared" si="4"/>
        <v>-2323.8099999999995</v>
      </c>
    </row>
    <row r="66" spans="2:28" ht="15.75">
      <c r="B66" s="13" t="s">
        <v>63</v>
      </c>
      <c r="C66" s="18">
        <f>C67+C68</f>
        <v>83.954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40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40</v>
      </c>
      <c r="AB66" s="53">
        <f t="shared" si="4"/>
        <v>-43.95399999999999</v>
      </c>
    </row>
    <row r="67" spans="2:28" ht="15.75">
      <c r="B67" s="3" t="s">
        <v>1</v>
      </c>
      <c r="C67" s="27">
        <v>14.734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>
        <f t="shared" si="4"/>
        <v>-14.734</v>
      </c>
    </row>
    <row r="68" spans="2:28" ht="15.75">
      <c r="B68" s="3" t="s">
        <v>10</v>
      </c>
      <c r="C68" s="27">
        <v>69.22</v>
      </c>
      <c r="D68" s="8"/>
      <c r="E68" s="8"/>
      <c r="F68" s="8"/>
      <c r="G68" s="8"/>
      <c r="H68" s="8"/>
      <c r="I68" s="8">
        <v>40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40</v>
      </c>
      <c r="AB68" s="53">
        <f t="shared" si="4"/>
        <v>-29.22</v>
      </c>
    </row>
    <row r="69" spans="2:28" ht="45" customHeight="1" hidden="1">
      <c r="B69" s="15" t="s">
        <v>60</v>
      </c>
      <c r="C69" s="18">
        <f>200-200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1038.512</v>
      </c>
      <c r="AB69" s="53">
        <f t="shared" si="4"/>
        <v>1038.512</v>
      </c>
    </row>
    <row r="70" spans="1:29" ht="15.75">
      <c r="A70" s="10">
        <v>170703</v>
      </c>
      <c r="B70" s="13" t="s">
        <v>45</v>
      </c>
      <c r="C70" s="18">
        <f>C71</f>
        <v>1070.203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20.288</v>
      </c>
      <c r="H70" s="18">
        <f t="shared" si="18"/>
        <v>150.509</v>
      </c>
      <c r="I70" s="18">
        <f t="shared" si="18"/>
        <v>69.991</v>
      </c>
      <c r="J70" s="18">
        <f t="shared" si="18"/>
        <v>0</v>
      </c>
      <c r="K70" s="18">
        <f t="shared" si="18"/>
        <v>0</v>
      </c>
      <c r="L70" s="18">
        <f t="shared" si="18"/>
        <v>54.768</v>
      </c>
      <c r="M70" s="18">
        <f t="shared" si="18"/>
        <v>193.151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335.45</v>
      </c>
      <c r="S70" s="18">
        <f t="shared" si="18"/>
        <v>214.355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1038.512</v>
      </c>
      <c r="AB70" s="53">
        <f t="shared" si="4"/>
        <v>-31.69100000000003</v>
      </c>
      <c r="AC70" s="35"/>
    </row>
    <row r="71" spans="2:40" s="35" customFormat="1" ht="15.75">
      <c r="B71" s="32" t="s">
        <v>49</v>
      </c>
      <c r="C71" s="27">
        <f>837.203+233</f>
        <v>1070.203</v>
      </c>
      <c r="D71" s="8"/>
      <c r="E71" s="8"/>
      <c r="F71" s="8"/>
      <c r="G71" s="8">
        <v>20.288</v>
      </c>
      <c r="H71" s="8">
        <v>150.509</v>
      </c>
      <c r="I71" s="8">
        <v>69.991</v>
      </c>
      <c r="J71" s="8"/>
      <c r="K71" s="8"/>
      <c r="L71" s="8">
        <v>54.768</v>
      </c>
      <c r="M71" s="8">
        <v>193.151</v>
      </c>
      <c r="N71" s="8"/>
      <c r="O71" s="8"/>
      <c r="P71" s="8"/>
      <c r="Q71" s="8"/>
      <c r="R71" s="8">
        <v>335.45</v>
      </c>
      <c r="S71" s="8">
        <v>214.355</v>
      </c>
      <c r="T71" s="8"/>
      <c r="U71" s="8"/>
      <c r="V71" s="8"/>
      <c r="W71" s="8"/>
      <c r="X71" s="8"/>
      <c r="Y71" s="8"/>
      <c r="Z71" s="8"/>
      <c r="AA71" s="8">
        <f aca="true" t="shared" si="19" ref="AA71:AA80">SUM(D71:Z71)</f>
        <v>1038.512</v>
      </c>
      <c r="AB71" s="53">
        <f t="shared" si="4"/>
        <v>-31.69100000000003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-279.678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281.528</v>
      </c>
      <c r="D75" s="18"/>
      <c r="E75" s="18"/>
      <c r="F75" s="18"/>
      <c r="G75" s="18"/>
      <c r="H75" s="18"/>
      <c r="I75" s="18"/>
      <c r="J75" s="18">
        <v>0.373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0.373</v>
      </c>
      <c r="AB75" s="53">
        <f t="shared" si="4"/>
        <v>-281.15500000000003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83.75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-83.75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47.942</v>
      </c>
      <c r="D77" s="18"/>
      <c r="E77" s="18"/>
      <c r="F77" s="18"/>
      <c r="G77" s="18"/>
      <c r="H77" s="18"/>
      <c r="I77" s="18"/>
      <c r="J77" s="18">
        <v>47.942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47.942</v>
      </c>
      <c r="AB77" s="53">
        <f t="shared" si="4"/>
        <v>0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 hidden="1">
      <c r="B78" s="13" t="s">
        <v>68</v>
      </c>
      <c r="C78" s="18"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0</v>
      </c>
      <c r="AB78" s="53">
        <f t="shared" si="4"/>
        <v>0</v>
      </c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6</v>
      </c>
      <c r="D79" s="18"/>
      <c r="E79" s="18">
        <v>6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9"/>
        <v>6</v>
      </c>
      <c r="AB79" s="53">
        <f t="shared" si="4"/>
        <v>0</v>
      </c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1551.048</v>
      </c>
      <c r="F80" s="18"/>
      <c r="G80" s="18">
        <v>55.092</v>
      </c>
      <c r="H80" s="18"/>
      <c r="I80" s="18">
        <v>48.141</v>
      </c>
      <c r="J80" s="18">
        <v>596.91</v>
      </c>
      <c r="K80" s="18">
        <v>360.094</v>
      </c>
      <c r="L80" s="18">
        <f>8.837+492</f>
        <v>500.837</v>
      </c>
      <c r="M80" s="18"/>
      <c r="N80" s="18"/>
      <c r="O80" s="18">
        <v>647.523</v>
      </c>
      <c r="P80" s="18">
        <v>169.225</v>
      </c>
      <c r="Q80" s="18">
        <v>371.854</v>
      </c>
      <c r="R80" s="18">
        <v>1284.034</v>
      </c>
      <c r="S80" s="18">
        <v>600.644</v>
      </c>
      <c r="T80" s="18">
        <v>115.016</v>
      </c>
      <c r="U80" s="18">
        <v>139.833</v>
      </c>
      <c r="V80" s="18"/>
      <c r="W80" s="18"/>
      <c r="X80" s="18"/>
      <c r="Y80" s="18"/>
      <c r="Z80" s="18"/>
      <c r="AA80" s="18">
        <f t="shared" si="19"/>
        <v>6440.250999999999</v>
      </c>
      <c r="AB80" s="53">
        <f t="shared" si="4"/>
        <v>6440.250999999999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35975.543</v>
      </c>
      <c r="D81" s="26">
        <f aca="true" t="shared" si="20" ref="D81:AA81">SUM(D82:D88)</f>
        <v>0.9</v>
      </c>
      <c r="E81" s="26">
        <f t="shared" si="20"/>
        <v>1665.446</v>
      </c>
      <c r="F81" s="26">
        <f t="shared" si="20"/>
        <v>0</v>
      </c>
      <c r="G81" s="26">
        <f t="shared" si="20"/>
        <v>1367.0290000000002</v>
      </c>
      <c r="H81" s="26">
        <f t="shared" si="20"/>
        <v>1311.8729999999998</v>
      </c>
      <c r="I81" s="26">
        <f t="shared" si="20"/>
        <v>2651.176</v>
      </c>
      <c r="J81" s="26">
        <f t="shared" si="20"/>
        <v>2171.2119999999995</v>
      </c>
      <c r="K81" s="26">
        <f t="shared" si="20"/>
        <v>537.8919999999999</v>
      </c>
      <c r="L81" s="26">
        <f t="shared" si="20"/>
        <v>701.4459999999999</v>
      </c>
      <c r="M81" s="26">
        <f t="shared" si="20"/>
        <v>480.09799999999996</v>
      </c>
      <c r="N81" s="26">
        <f t="shared" si="20"/>
        <v>0</v>
      </c>
      <c r="O81" s="26">
        <f t="shared" si="20"/>
        <v>2581.6800000000003</v>
      </c>
      <c r="P81" s="26">
        <f t="shared" si="20"/>
        <v>435.3215</v>
      </c>
      <c r="Q81" s="26">
        <f t="shared" si="20"/>
        <v>1367.673</v>
      </c>
      <c r="R81" s="26">
        <f t="shared" si="20"/>
        <v>4623.773999999999</v>
      </c>
      <c r="S81" s="26">
        <f t="shared" si="20"/>
        <v>6129.238</v>
      </c>
      <c r="T81" s="26">
        <f>SUM(T82:T88)</f>
        <v>1575.7839999999999</v>
      </c>
      <c r="U81" s="26">
        <f t="shared" si="20"/>
        <v>263.621</v>
      </c>
      <c r="V81" s="26">
        <f t="shared" si="20"/>
        <v>-0.075</v>
      </c>
      <c r="W81" s="26">
        <f t="shared" si="20"/>
        <v>-0.057</v>
      </c>
      <c r="X81" s="26">
        <f t="shared" si="20"/>
        <v>-1.309</v>
      </c>
      <c r="Y81" s="26">
        <f t="shared" si="20"/>
        <v>0</v>
      </c>
      <c r="Z81" s="26">
        <f t="shared" si="20"/>
        <v>0</v>
      </c>
      <c r="AA81" s="26">
        <f t="shared" si="20"/>
        <v>28901.2345</v>
      </c>
      <c r="AB81" s="53">
        <f t="shared" si="4"/>
        <v>-7074.308499999999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22012.216</v>
      </c>
      <c r="D82" s="23">
        <f t="shared" si="21"/>
        <v>0</v>
      </c>
      <c r="E82" s="23">
        <f t="shared" si="21"/>
        <v>6.4</v>
      </c>
      <c r="F82" s="23">
        <f t="shared" si="21"/>
        <v>0</v>
      </c>
      <c r="G82" s="23">
        <f t="shared" si="21"/>
        <v>1000.6809999999999</v>
      </c>
      <c r="H82" s="23">
        <f t="shared" si="21"/>
        <v>375.908</v>
      </c>
      <c r="I82" s="23">
        <f t="shared" si="21"/>
        <v>2195.554</v>
      </c>
      <c r="J82" s="23">
        <f t="shared" si="21"/>
        <v>1123.877</v>
      </c>
      <c r="K82" s="23">
        <f t="shared" si="21"/>
        <v>0</v>
      </c>
      <c r="L82" s="23">
        <f t="shared" si="21"/>
        <v>0</v>
      </c>
      <c r="M82" s="23">
        <f t="shared" si="21"/>
        <v>35.867</v>
      </c>
      <c r="N82" s="23">
        <f t="shared" si="21"/>
        <v>0</v>
      </c>
      <c r="O82" s="23">
        <f t="shared" si="21"/>
        <v>852.31</v>
      </c>
      <c r="P82" s="23">
        <f t="shared" si="21"/>
        <v>33.828</v>
      </c>
      <c r="Q82" s="23">
        <f t="shared" si="21"/>
        <v>742.374</v>
      </c>
      <c r="R82" s="23">
        <f t="shared" si="21"/>
        <v>2871.2079999999996</v>
      </c>
      <c r="S82" s="23">
        <f t="shared" si="21"/>
        <v>5110.885</v>
      </c>
      <c r="T82" s="23">
        <f t="shared" si="21"/>
        <v>1208.616</v>
      </c>
      <c r="U82" s="23">
        <f t="shared" si="21"/>
        <v>115.14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15672.648</v>
      </c>
      <c r="AB82" s="53">
        <f t="shared" si="4"/>
        <v>-6339.568000000001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19.421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1.799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0.799</v>
      </c>
      <c r="P83" s="23">
        <f t="shared" si="22"/>
        <v>0</v>
      </c>
      <c r="Q83" s="23">
        <f t="shared" si="22"/>
        <v>1.998</v>
      </c>
      <c r="R83" s="23">
        <f t="shared" si="22"/>
        <v>0</v>
      </c>
      <c r="S83" s="23">
        <f t="shared" si="22"/>
        <v>0</v>
      </c>
      <c r="T83" s="23">
        <f t="shared" si="22"/>
        <v>0.5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5.096</v>
      </c>
      <c r="AB83" s="53">
        <f t="shared" si="4"/>
        <v>-14.325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826.266</v>
      </c>
      <c r="D84" s="23">
        <f t="shared" si="23"/>
        <v>0</v>
      </c>
      <c r="E84" s="23">
        <f t="shared" si="23"/>
        <v>19.255</v>
      </c>
      <c r="F84" s="23">
        <f t="shared" si="23"/>
        <v>0</v>
      </c>
      <c r="G84" s="23">
        <f t="shared" si="23"/>
        <v>6.104</v>
      </c>
      <c r="H84" s="23">
        <f t="shared" si="23"/>
        <v>0</v>
      </c>
      <c r="I84" s="23">
        <f t="shared" si="23"/>
        <v>52.903</v>
      </c>
      <c r="J84" s="23">
        <f t="shared" si="23"/>
        <v>56.808</v>
      </c>
      <c r="K84" s="23">
        <f t="shared" si="23"/>
        <v>9.106</v>
      </c>
      <c r="L84" s="23">
        <f t="shared" si="23"/>
        <v>0</v>
      </c>
      <c r="M84" s="23">
        <f t="shared" si="23"/>
        <v>110.707</v>
      </c>
      <c r="N84" s="23">
        <f t="shared" si="23"/>
        <v>0</v>
      </c>
      <c r="O84" s="23">
        <f t="shared" si="23"/>
        <v>68.905</v>
      </c>
      <c r="P84" s="23">
        <f t="shared" si="23"/>
        <v>0</v>
      </c>
      <c r="Q84" s="23">
        <f t="shared" si="23"/>
        <v>85.217</v>
      </c>
      <c r="R84" s="23">
        <f t="shared" si="23"/>
        <v>23.506</v>
      </c>
      <c r="S84" s="23">
        <f t="shared" si="23"/>
        <v>67.494</v>
      </c>
      <c r="T84" s="23">
        <f t="shared" si="23"/>
        <v>3.3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503.305</v>
      </c>
      <c r="AB84" s="53">
        <f t="shared" si="4"/>
        <v>-322.96099999999996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1642.6620000000003</v>
      </c>
      <c r="D85" s="23">
        <f t="shared" si="24"/>
        <v>0</v>
      </c>
      <c r="E85" s="23">
        <f t="shared" si="24"/>
        <v>35.234</v>
      </c>
      <c r="F85" s="23">
        <f t="shared" si="24"/>
        <v>0</v>
      </c>
      <c r="G85" s="23">
        <f t="shared" si="24"/>
        <v>40.895</v>
      </c>
      <c r="H85" s="23">
        <f t="shared" si="24"/>
        <v>14.316</v>
      </c>
      <c r="I85" s="23">
        <f t="shared" si="24"/>
        <v>53.550999999999995</v>
      </c>
      <c r="J85" s="23">
        <f t="shared" si="24"/>
        <v>157.589</v>
      </c>
      <c r="K85" s="23">
        <f t="shared" si="24"/>
        <v>28.328</v>
      </c>
      <c r="L85" s="23">
        <f t="shared" si="24"/>
        <v>3.405</v>
      </c>
      <c r="M85" s="23">
        <f t="shared" si="24"/>
        <v>67.84</v>
      </c>
      <c r="N85" s="23">
        <f t="shared" si="24"/>
        <v>0</v>
      </c>
      <c r="O85" s="23">
        <f t="shared" si="24"/>
        <v>102.467</v>
      </c>
      <c r="P85" s="23">
        <f t="shared" si="24"/>
        <v>0.0165</v>
      </c>
      <c r="Q85" s="23">
        <f t="shared" si="24"/>
        <v>68.93400000000001</v>
      </c>
      <c r="R85" s="23">
        <f t="shared" si="24"/>
        <v>61.133</v>
      </c>
      <c r="S85" s="23">
        <f t="shared" si="24"/>
        <v>46.703</v>
      </c>
      <c r="T85" s="23">
        <f t="shared" si="24"/>
        <v>-9.806000000000001</v>
      </c>
      <c r="U85" s="23">
        <f t="shared" si="24"/>
        <v>0</v>
      </c>
      <c r="V85" s="23">
        <f t="shared" si="24"/>
        <v>-0.075</v>
      </c>
      <c r="W85" s="23">
        <f t="shared" si="24"/>
        <v>-0.057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670.4734999999998</v>
      </c>
      <c r="AB85" s="53">
        <f>AA85-C85</f>
        <v>-972.1885000000004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286.298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</v>
      </c>
      <c r="AB86" s="53">
        <f>AA86-C86</f>
        <v>-286.298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4917.069</v>
      </c>
      <c r="D87" s="23">
        <f aca="true" t="shared" si="26" ref="D87:AA87">D30+D51+D61+D65+D31+D68+D77+D78+D79</f>
        <v>0</v>
      </c>
      <c r="E87" s="23">
        <f t="shared" si="26"/>
        <v>19.874000000000002</v>
      </c>
      <c r="F87" s="23">
        <f t="shared" si="26"/>
        <v>0</v>
      </c>
      <c r="G87" s="23">
        <f t="shared" si="26"/>
        <v>36.563</v>
      </c>
      <c r="H87" s="23">
        <f t="shared" si="26"/>
        <v>754.644</v>
      </c>
      <c r="I87" s="23">
        <f t="shared" si="26"/>
        <v>145.297</v>
      </c>
      <c r="J87" s="23">
        <f t="shared" si="26"/>
        <v>156.886</v>
      </c>
      <c r="K87" s="23">
        <f t="shared" si="26"/>
        <v>47.414</v>
      </c>
      <c r="L87" s="23">
        <f t="shared" si="26"/>
        <v>0</v>
      </c>
      <c r="M87" s="23">
        <f t="shared" si="26"/>
        <v>0.645</v>
      </c>
      <c r="N87" s="23">
        <f t="shared" si="26"/>
        <v>0</v>
      </c>
      <c r="O87" s="23">
        <f t="shared" si="26"/>
        <v>498.567</v>
      </c>
      <c r="P87" s="23">
        <f t="shared" si="26"/>
        <v>43.20099999999999</v>
      </c>
      <c r="Q87" s="23">
        <f t="shared" si="26"/>
        <v>32.176</v>
      </c>
      <c r="R87" s="23">
        <f t="shared" si="26"/>
        <v>4.333</v>
      </c>
      <c r="S87" s="23">
        <f t="shared" si="26"/>
        <v>10.958</v>
      </c>
      <c r="T87" s="23">
        <f t="shared" si="26"/>
        <v>242.824</v>
      </c>
      <c r="U87" s="23">
        <f t="shared" si="26"/>
        <v>0.38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1993.7620000000002</v>
      </c>
      <c r="AB87" s="53">
        <f>AA87-C87</f>
        <v>-2923.3070000000002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>C22+C28+C32+C33+C40+C44+C48+C56+C62+C71+C75+C76+C80+C64+C74+C72+C34+C69</f>
        <v>6271.611000000001</v>
      </c>
      <c r="D88" s="23">
        <f aca="true" t="shared" si="27" ref="D88:AA88">D22+D28+D32+D33+D40+D44+D48+D56+D62+D71+D75+D76+D80+D64+D74+D72+D34+D69</f>
        <v>0.9</v>
      </c>
      <c r="E88" s="23">
        <f t="shared" si="27"/>
        <v>1584.683</v>
      </c>
      <c r="F88" s="23">
        <f t="shared" si="27"/>
        <v>0</v>
      </c>
      <c r="G88" s="23">
        <f t="shared" si="27"/>
        <v>282.786</v>
      </c>
      <c r="H88" s="23">
        <f t="shared" si="27"/>
        <v>165.206</v>
      </c>
      <c r="I88" s="23">
        <f t="shared" si="27"/>
        <v>203.871</v>
      </c>
      <c r="J88" s="23">
        <f t="shared" si="27"/>
        <v>676.0519999999999</v>
      </c>
      <c r="K88" s="23">
        <f t="shared" si="27"/>
        <v>453.044</v>
      </c>
      <c r="L88" s="23">
        <f t="shared" si="27"/>
        <v>698.0409999999999</v>
      </c>
      <c r="M88" s="23">
        <f t="shared" si="27"/>
        <v>265.039</v>
      </c>
      <c r="N88" s="23">
        <f t="shared" si="27"/>
        <v>0</v>
      </c>
      <c r="O88" s="23">
        <f t="shared" si="27"/>
        <v>1058.632</v>
      </c>
      <c r="P88" s="23">
        <f t="shared" si="27"/>
        <v>358.276</v>
      </c>
      <c r="Q88" s="23">
        <f t="shared" si="27"/>
        <v>436.974</v>
      </c>
      <c r="R88" s="23">
        <f t="shared" si="27"/>
        <v>1663.594</v>
      </c>
      <c r="S88" s="23">
        <f t="shared" si="27"/>
        <v>893.198</v>
      </c>
      <c r="T88" s="23">
        <f t="shared" si="27"/>
        <v>130.35</v>
      </c>
      <c r="U88" s="23">
        <f t="shared" si="27"/>
        <v>148.101</v>
      </c>
      <c r="V88" s="23">
        <f t="shared" si="27"/>
        <v>0</v>
      </c>
      <c r="W88" s="23">
        <f t="shared" si="27"/>
        <v>0</v>
      </c>
      <c r="X88" s="23">
        <f t="shared" si="27"/>
        <v>-1.309</v>
      </c>
      <c r="Y88" s="23">
        <f t="shared" si="27"/>
        <v>0</v>
      </c>
      <c r="Z88" s="23">
        <f t="shared" si="27"/>
        <v>0</v>
      </c>
      <c r="AA88" s="23">
        <f t="shared" si="27"/>
        <v>10055.949999999999</v>
      </c>
      <c r="AB88" s="53">
        <f>AA88-C88</f>
        <v>3784.338999999998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tabSelected="1" zoomScale="85" zoomScaleNormal="85" zoomScaleSheetLayoutView="55" workbookViewId="0" topLeftCell="B1">
      <pane xSplit="4740" ySplit="2610" topLeftCell="V2" activePane="bottomRight" state="split"/>
      <selection pane="topLeft" activeCell="I81" sqref="I81"/>
      <selection pane="topRight" activeCell="W1" sqref="W1:X16384"/>
      <selection pane="bottomLeft" activeCell="B55" sqref="B55"/>
      <selection pane="bottomRight" activeCell="AD14" sqref="AD14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13" width="8.75390625" style="4" customWidth="1"/>
    <col min="14" max="14" width="8.75390625" style="4" hidden="1" customWidth="1"/>
    <col min="15" max="22" width="8.75390625" style="4" customWidth="1"/>
    <col min="23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71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3</v>
      </c>
      <c r="E5" s="5">
        <v>4</v>
      </c>
      <c r="F5" s="5">
        <v>5</v>
      </c>
      <c r="G5" s="5">
        <v>6</v>
      </c>
      <c r="H5" s="5">
        <v>7</v>
      </c>
      <c r="I5" s="5">
        <v>10</v>
      </c>
      <c r="J5" s="6">
        <v>11</v>
      </c>
      <c r="K5" s="5">
        <v>12</v>
      </c>
      <c r="L5" s="5">
        <v>13</v>
      </c>
      <c r="M5" s="5">
        <v>14</v>
      </c>
      <c r="N5" s="5">
        <v>18</v>
      </c>
      <c r="O5" s="5">
        <v>18</v>
      </c>
      <c r="P5" s="5">
        <v>19</v>
      </c>
      <c r="Q5" s="5">
        <v>20</v>
      </c>
      <c r="R5" s="5">
        <v>21</v>
      </c>
      <c r="S5" s="5">
        <v>24</v>
      </c>
      <c r="T5" s="5">
        <v>25</v>
      </c>
      <c r="U5" s="5">
        <v>26</v>
      </c>
      <c r="V5" s="6">
        <v>27</v>
      </c>
      <c r="W5" s="5"/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21.6</v>
      </c>
      <c r="D6" s="45"/>
      <c r="E6" s="7"/>
      <c r="F6" s="9"/>
      <c r="G6" s="7"/>
      <c r="H6" s="9"/>
      <c r="I6" s="9"/>
      <c r="J6" s="46"/>
      <c r="K6" s="9"/>
      <c r="L6" s="9"/>
      <c r="M6" s="9">
        <v>21.6</v>
      </c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7313.8</v>
      </c>
      <c r="D7" s="1">
        <v>3656.9</v>
      </c>
      <c r="E7" s="7"/>
      <c r="F7" s="7"/>
      <c r="G7" s="7"/>
      <c r="H7" s="7"/>
      <c r="I7" s="7"/>
      <c r="J7" s="8">
        <v>3656.9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18772.7</v>
      </c>
      <c r="D8" s="37">
        <f aca="true" t="shared" si="1" ref="D8:Y8">SUM(D9:D16)</f>
        <v>331.00000000000006</v>
      </c>
      <c r="E8" s="37">
        <f t="shared" si="1"/>
        <v>389.6</v>
      </c>
      <c r="F8" s="37">
        <f t="shared" si="1"/>
        <v>579.1999999999999</v>
      </c>
      <c r="G8" s="37">
        <f t="shared" si="1"/>
        <v>2215.3999999999996</v>
      </c>
      <c r="H8" s="37">
        <f t="shared" si="1"/>
        <v>1505.4</v>
      </c>
      <c r="I8" s="37">
        <f>SUM(I9:I16)</f>
        <v>574.6</v>
      </c>
      <c r="J8" s="37">
        <f t="shared" si="1"/>
        <v>466.79999999999995</v>
      </c>
      <c r="K8" s="37">
        <f>SUM(K9:K16)</f>
        <v>694.6999999999998</v>
      </c>
      <c r="L8" s="37">
        <f t="shared" si="1"/>
        <v>1205</v>
      </c>
      <c r="M8" s="37">
        <f t="shared" si="1"/>
        <v>793.8</v>
      </c>
      <c r="N8" s="37">
        <f t="shared" si="1"/>
        <v>0</v>
      </c>
      <c r="O8" s="37">
        <f t="shared" si="1"/>
        <v>878.6000000000001</v>
      </c>
      <c r="P8" s="37">
        <f t="shared" si="1"/>
        <v>736.7000000000002</v>
      </c>
      <c r="Q8" s="37">
        <f t="shared" si="1"/>
        <v>1077</v>
      </c>
      <c r="R8" s="37">
        <f t="shared" si="1"/>
        <v>1506.6</v>
      </c>
      <c r="S8" s="37">
        <f>SUM(S9:S16)</f>
        <v>1185.0000000000002</v>
      </c>
      <c r="T8" s="37">
        <f>SUM(T9:T16)</f>
        <v>1665.6000000000001</v>
      </c>
      <c r="U8" s="37">
        <f t="shared" si="1"/>
        <v>1638.8999999999999</v>
      </c>
      <c r="V8" s="37">
        <f t="shared" si="1"/>
        <v>1328.8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12052.9</v>
      </c>
      <c r="D9" s="40">
        <v>119.3</v>
      </c>
      <c r="E9" s="8">
        <v>201.8</v>
      </c>
      <c r="F9" s="8">
        <v>372.6</v>
      </c>
      <c r="G9" s="8">
        <v>2027.6</v>
      </c>
      <c r="H9" s="8">
        <v>1116.8</v>
      </c>
      <c r="I9" s="8">
        <v>315.6</v>
      </c>
      <c r="J9" s="8">
        <v>265.9</v>
      </c>
      <c r="K9" s="8">
        <v>444.9</v>
      </c>
      <c r="L9" s="8">
        <v>939.4</v>
      </c>
      <c r="M9" s="8">
        <v>544.1</v>
      </c>
      <c r="N9" s="8"/>
      <c r="O9" s="8">
        <v>336.6</v>
      </c>
      <c r="P9" s="8">
        <v>324.8</v>
      </c>
      <c r="Q9" s="8">
        <v>847.5</v>
      </c>
      <c r="R9" s="43">
        <v>1272.7</v>
      </c>
      <c r="S9" s="43">
        <v>502.9</v>
      </c>
      <c r="T9" s="8">
        <v>527.6</v>
      </c>
      <c r="U9" s="43">
        <v>1038</v>
      </c>
      <c r="V9" s="8">
        <v>854.8</v>
      </c>
      <c r="W9" s="8"/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1101.1000000000001</v>
      </c>
      <c r="D11" s="40">
        <v>52.7</v>
      </c>
      <c r="E11" s="8">
        <v>21.8</v>
      </c>
      <c r="F11" s="8">
        <v>28.7</v>
      </c>
      <c r="G11" s="8">
        <v>12.3</v>
      </c>
      <c r="H11" s="8">
        <v>15.9</v>
      </c>
      <c r="I11" s="8">
        <v>77.8</v>
      </c>
      <c r="J11" s="8">
        <v>27.3</v>
      </c>
      <c r="K11" s="8">
        <v>30.9</v>
      </c>
      <c r="L11" s="8">
        <v>48.6</v>
      </c>
      <c r="M11" s="8">
        <v>37.8</v>
      </c>
      <c r="N11" s="8"/>
      <c r="O11" s="8">
        <v>83.3</v>
      </c>
      <c r="P11" s="8">
        <v>30.6</v>
      </c>
      <c r="Q11" s="8">
        <v>31.3</v>
      </c>
      <c r="R11" s="43">
        <v>36.9</v>
      </c>
      <c r="S11" s="43">
        <v>174.8</v>
      </c>
      <c r="T11" s="8">
        <v>198.4</v>
      </c>
      <c r="U11" s="43">
        <v>103.6</v>
      </c>
      <c r="V11" s="8">
        <v>88.4</v>
      </c>
      <c r="W11" s="8"/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882.7000000000002</v>
      </c>
      <c r="D12" s="40">
        <v>10.4</v>
      </c>
      <c r="E12" s="8">
        <v>37.5</v>
      </c>
      <c r="F12" s="8">
        <v>102</v>
      </c>
      <c r="G12" s="8">
        <v>19.8</v>
      </c>
      <c r="H12" s="8">
        <v>43.3</v>
      </c>
      <c r="I12" s="8">
        <v>50.8</v>
      </c>
      <c r="J12" s="8">
        <v>24</v>
      </c>
      <c r="K12" s="8">
        <v>46</v>
      </c>
      <c r="L12" s="8">
        <v>31.5</v>
      </c>
      <c r="M12" s="8">
        <v>33.1</v>
      </c>
      <c r="N12" s="8"/>
      <c r="O12" s="8">
        <v>121.4</v>
      </c>
      <c r="P12" s="8">
        <v>68.4</v>
      </c>
      <c r="Q12" s="8">
        <v>33.2</v>
      </c>
      <c r="R12" s="43">
        <v>42.6</v>
      </c>
      <c r="S12" s="43">
        <v>82.1</v>
      </c>
      <c r="T12" s="8">
        <v>35.1</v>
      </c>
      <c r="U12" s="43">
        <v>54.9</v>
      </c>
      <c r="V12" s="8">
        <v>46.6</v>
      </c>
      <c r="W12" s="8"/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2576.7</v>
      </c>
      <c r="D13" s="40">
        <v>56.2</v>
      </c>
      <c r="E13" s="8">
        <v>34.5</v>
      </c>
      <c r="F13" s="8">
        <v>29.1</v>
      </c>
      <c r="G13" s="8">
        <v>25.1</v>
      </c>
      <c r="H13" s="8">
        <v>189.2</v>
      </c>
      <c r="I13" s="8">
        <v>35</v>
      </c>
      <c r="J13" s="8">
        <v>81.2</v>
      </c>
      <c r="K13" s="8">
        <v>33.8</v>
      </c>
      <c r="L13" s="8">
        <v>74.7</v>
      </c>
      <c r="M13" s="8">
        <v>57.8</v>
      </c>
      <c r="N13" s="8"/>
      <c r="O13" s="8">
        <v>49.3</v>
      </c>
      <c r="P13" s="8">
        <v>66.1</v>
      </c>
      <c r="Q13" s="8">
        <v>84.2</v>
      </c>
      <c r="R13" s="43">
        <v>82.9</v>
      </c>
      <c r="S13" s="43">
        <v>334.3</v>
      </c>
      <c r="T13" s="8">
        <v>839.6</v>
      </c>
      <c r="U13" s="8">
        <v>297.6</v>
      </c>
      <c r="V13" s="8">
        <v>206.1</v>
      </c>
      <c r="W13" s="8"/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1495</v>
      </c>
      <c r="D14" s="40">
        <v>47.8</v>
      </c>
      <c r="E14" s="8">
        <v>70.8</v>
      </c>
      <c r="F14" s="8">
        <v>29.8</v>
      </c>
      <c r="G14" s="8">
        <v>119.6</v>
      </c>
      <c r="H14" s="8">
        <v>108</v>
      </c>
      <c r="I14" s="8">
        <v>65.3</v>
      </c>
      <c r="J14" s="8">
        <v>45.7</v>
      </c>
      <c r="K14" s="8">
        <v>34.3</v>
      </c>
      <c r="L14" s="8">
        <v>84.9</v>
      </c>
      <c r="M14" s="8">
        <v>93.5</v>
      </c>
      <c r="N14" s="8"/>
      <c r="O14" s="8">
        <v>251.8</v>
      </c>
      <c r="P14" s="8">
        <v>184.6</v>
      </c>
      <c r="Q14" s="8">
        <v>45.7</v>
      </c>
      <c r="R14" s="43">
        <v>40.3</v>
      </c>
      <c r="S14" s="43">
        <v>35.8</v>
      </c>
      <c r="T14" s="8">
        <v>35.8</v>
      </c>
      <c r="U14" s="43">
        <v>103.9</v>
      </c>
      <c r="V14" s="8">
        <v>97.4</v>
      </c>
      <c r="W14" s="8"/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264.69999999999993</v>
      </c>
      <c r="D15" s="40">
        <v>10.3</v>
      </c>
      <c r="E15" s="8">
        <v>11.8</v>
      </c>
      <c r="F15" s="8">
        <v>11.4</v>
      </c>
      <c r="G15" s="8">
        <v>8.6</v>
      </c>
      <c r="H15" s="8">
        <v>15</v>
      </c>
      <c r="I15" s="8">
        <v>16</v>
      </c>
      <c r="J15" s="8">
        <v>10.2</v>
      </c>
      <c r="K15" s="8">
        <v>18.9</v>
      </c>
      <c r="L15" s="8">
        <v>13.8</v>
      </c>
      <c r="M15" s="8">
        <v>11.7</v>
      </c>
      <c r="N15" s="8"/>
      <c r="O15" s="8">
        <v>14.1</v>
      </c>
      <c r="P15" s="8">
        <v>14.6</v>
      </c>
      <c r="Q15" s="8">
        <v>20.3</v>
      </c>
      <c r="R15" s="43">
        <v>15.6</v>
      </c>
      <c r="S15" s="43">
        <v>16.7</v>
      </c>
      <c r="T15" s="8">
        <v>14.7</v>
      </c>
      <c r="U15" s="43">
        <v>23.1</v>
      </c>
      <c r="V15" s="8">
        <v>17.9</v>
      </c>
      <c r="W15" s="8"/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399.6</v>
      </c>
      <c r="D16" s="40">
        <v>34.3</v>
      </c>
      <c r="E16" s="8">
        <v>11.4</v>
      </c>
      <c r="F16" s="8">
        <v>5.6</v>
      </c>
      <c r="G16" s="8">
        <v>2.4</v>
      </c>
      <c r="H16" s="8">
        <v>17.2</v>
      </c>
      <c r="I16" s="8">
        <v>14.1</v>
      </c>
      <c r="J16" s="8">
        <v>12.5</v>
      </c>
      <c r="K16" s="8">
        <v>85.9</v>
      </c>
      <c r="L16" s="8">
        <v>12.1</v>
      </c>
      <c r="M16" s="8">
        <v>15.8</v>
      </c>
      <c r="N16" s="8"/>
      <c r="O16" s="8">
        <v>22.1</v>
      </c>
      <c r="P16" s="8">
        <v>47.6</v>
      </c>
      <c r="Q16" s="8">
        <v>14.8</v>
      </c>
      <c r="R16" s="43">
        <v>15.6</v>
      </c>
      <c r="S16" s="43">
        <v>38.4</v>
      </c>
      <c r="T16" s="8">
        <v>14.4</v>
      </c>
      <c r="U16" s="43">
        <v>17.8</v>
      </c>
      <c r="V16" s="8">
        <v>17.6</v>
      </c>
      <c r="W16" s="8"/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26108.1</v>
      </c>
      <c r="D17" s="22">
        <f>SUM(D6:D8)</f>
        <v>3987.9</v>
      </c>
      <c r="E17" s="22">
        <f aca="true" t="shared" si="2" ref="E17:Y17">SUM(E6:E8)</f>
        <v>389.6</v>
      </c>
      <c r="F17" s="22">
        <f t="shared" si="2"/>
        <v>579.1999999999999</v>
      </c>
      <c r="G17" s="22">
        <f t="shared" si="2"/>
        <v>2215.3999999999996</v>
      </c>
      <c r="H17" s="22">
        <f t="shared" si="2"/>
        <v>1505.4</v>
      </c>
      <c r="I17" s="22">
        <f t="shared" si="2"/>
        <v>574.6</v>
      </c>
      <c r="J17" s="22">
        <f t="shared" si="2"/>
        <v>4123.7</v>
      </c>
      <c r="K17" s="22">
        <f t="shared" si="2"/>
        <v>694.6999999999998</v>
      </c>
      <c r="L17" s="22">
        <f t="shared" si="2"/>
        <v>1205</v>
      </c>
      <c r="M17" s="22">
        <f>SUM(M6:M8)</f>
        <v>815.4</v>
      </c>
      <c r="N17" s="22">
        <f t="shared" si="2"/>
        <v>0</v>
      </c>
      <c r="O17" s="22">
        <f t="shared" si="2"/>
        <v>878.6000000000001</v>
      </c>
      <c r="P17" s="22">
        <f t="shared" si="2"/>
        <v>736.7000000000002</v>
      </c>
      <c r="Q17" s="22">
        <f t="shared" si="2"/>
        <v>1077</v>
      </c>
      <c r="R17" s="22">
        <f t="shared" si="2"/>
        <v>1506.6</v>
      </c>
      <c r="S17" s="22">
        <f t="shared" si="2"/>
        <v>1185.0000000000002</v>
      </c>
      <c r="T17" s="22">
        <f>SUM(T6:T8)</f>
        <v>1665.6000000000001</v>
      </c>
      <c r="U17" s="22">
        <f t="shared" si="2"/>
        <v>1638.8999999999999</v>
      </c>
      <c r="V17" s="22">
        <f t="shared" si="2"/>
        <v>1328.8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C19+C23+C29+C32+C33+C34+C35+C41+C45+C49+C52+C57+C63+C70+C75+C76+C80+C31+C66+C74+C72+C73+C77+C78+C79+C69</f>
        <v>40773.557510000006</v>
      </c>
      <c r="D18" s="24">
        <f aca="true" t="shared" si="3" ref="D18:AA18">D19+D23+D29+D32+D33+D34+D35+D41+D45+D49+D52+D57+D63+D70+D75+D76+D80+D31+D66+D74+D72+D73+D77+D78+D79+D69</f>
        <v>457.673</v>
      </c>
      <c r="E18" s="24">
        <f t="shared" si="3"/>
        <v>61.497</v>
      </c>
      <c r="F18" s="24">
        <f t="shared" si="3"/>
        <v>1031.7540000000001</v>
      </c>
      <c r="G18" s="24">
        <f t="shared" si="3"/>
        <v>382.605</v>
      </c>
      <c r="H18" s="24">
        <f t="shared" si="3"/>
        <v>1470.801</v>
      </c>
      <c r="I18" s="24">
        <f t="shared" si="3"/>
        <v>5772.2210000000005</v>
      </c>
      <c r="J18" s="24">
        <f t="shared" si="3"/>
        <v>3792.848</v>
      </c>
      <c r="K18" s="24">
        <f t="shared" si="3"/>
        <v>381.21599999999995</v>
      </c>
      <c r="L18" s="24">
        <f t="shared" si="3"/>
        <v>2584.6829999999995</v>
      </c>
      <c r="M18" s="24">
        <f t="shared" si="3"/>
        <v>1145.132</v>
      </c>
      <c r="N18" s="24">
        <f t="shared" si="3"/>
        <v>0</v>
      </c>
      <c r="O18" s="24">
        <f t="shared" si="3"/>
        <v>172.313</v>
      </c>
      <c r="P18" s="24">
        <f t="shared" si="3"/>
        <v>900.7550000000001</v>
      </c>
      <c r="Q18" s="24">
        <f t="shared" si="3"/>
        <v>425.991</v>
      </c>
      <c r="R18" s="24">
        <f t="shared" si="3"/>
        <v>3795.5659999999993</v>
      </c>
      <c r="S18" s="24">
        <f t="shared" si="3"/>
        <v>4810.969999999999</v>
      </c>
      <c r="T18" s="24">
        <f t="shared" si="3"/>
        <v>2645.0910000000003</v>
      </c>
      <c r="U18" s="24">
        <f t="shared" si="3"/>
        <v>-0.526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29830.589999999997</v>
      </c>
      <c r="AB18" s="53">
        <f aca="true" t="shared" si="4" ref="AB18:AB84">AA18-C18</f>
        <v>-10942.96751000001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4769.258</v>
      </c>
      <c r="D19" s="18">
        <f t="shared" si="5"/>
        <v>6.2700000000000005</v>
      </c>
      <c r="E19" s="18">
        <f t="shared" si="5"/>
        <v>14.972999999999999</v>
      </c>
      <c r="F19" s="18">
        <f t="shared" si="5"/>
        <v>1.629</v>
      </c>
      <c r="G19" s="18">
        <f t="shared" si="5"/>
        <v>24.593</v>
      </c>
      <c r="H19" s="18">
        <f t="shared" si="5"/>
        <v>313.078</v>
      </c>
      <c r="I19" s="18">
        <f t="shared" si="5"/>
        <v>0</v>
      </c>
      <c r="J19" s="18">
        <f t="shared" si="5"/>
        <v>720.275</v>
      </c>
      <c r="K19" s="18">
        <f t="shared" si="5"/>
        <v>124.575</v>
      </c>
      <c r="L19" s="18">
        <f t="shared" si="5"/>
        <v>230.775</v>
      </c>
      <c r="M19" s="18">
        <f t="shared" si="5"/>
        <v>13.773</v>
      </c>
      <c r="N19" s="18">
        <f t="shared" si="5"/>
        <v>0</v>
      </c>
      <c r="O19" s="18">
        <f t="shared" si="5"/>
        <v>4.26</v>
      </c>
      <c r="P19" s="18">
        <f t="shared" si="5"/>
        <v>3.54</v>
      </c>
      <c r="Q19" s="18">
        <f t="shared" si="5"/>
        <v>157.428</v>
      </c>
      <c r="R19" s="18">
        <f t="shared" si="5"/>
        <v>136.519</v>
      </c>
      <c r="S19" s="18">
        <f t="shared" si="5"/>
        <v>253.643</v>
      </c>
      <c r="T19" s="18">
        <f>SUM(T20:T22)</f>
        <v>1421.811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3427.142</v>
      </c>
      <c r="AB19" s="53">
        <f t="shared" si="4"/>
        <v>-1342.116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f>3350.649-0.5+20+4.5+6</f>
        <v>3380.649</v>
      </c>
      <c r="D20" s="7">
        <v>6.08</v>
      </c>
      <c r="E20" s="7">
        <v>3.943</v>
      </c>
      <c r="F20" s="7"/>
      <c r="G20" s="7">
        <v>22.733</v>
      </c>
      <c r="H20" s="7">
        <v>170.229</v>
      </c>
      <c r="I20" s="7"/>
      <c r="J20" s="8">
        <v>702.692</v>
      </c>
      <c r="K20" s="7">
        <v>117.285</v>
      </c>
      <c r="L20" s="7">
        <v>228.9</v>
      </c>
      <c r="M20" s="7"/>
      <c r="N20" s="7"/>
      <c r="O20" s="7"/>
      <c r="P20" s="7"/>
      <c r="Q20" s="7">
        <v>33.399</v>
      </c>
      <c r="R20" s="7">
        <v>133.973</v>
      </c>
      <c r="S20" s="7">
        <v>252.455</v>
      </c>
      <c r="T20" s="7">
        <v>1338.741</v>
      </c>
      <c r="U20" s="7"/>
      <c r="V20" s="8"/>
      <c r="W20" s="8"/>
      <c r="X20" s="8"/>
      <c r="Y20" s="7"/>
      <c r="Z20" s="7"/>
      <c r="AA20" s="7">
        <f>SUM(D20:Z20)</f>
        <v>3010.43</v>
      </c>
      <c r="AB20" s="87">
        <f t="shared" si="4"/>
        <v>-370.21900000000005</v>
      </c>
      <c r="AC20" s="85"/>
      <c r="AD20" s="84" t="s">
        <v>48</v>
      </c>
      <c r="AE20" s="86">
        <f>AA19</f>
        <v>3427.142</v>
      </c>
      <c r="AF20" s="83"/>
      <c r="AG20" s="83"/>
    </row>
    <row r="21" spans="2:33" ht="15.75">
      <c r="B21" s="3" t="s">
        <v>1</v>
      </c>
      <c r="C21" s="23">
        <v>345.194</v>
      </c>
      <c r="D21" s="7"/>
      <c r="E21" s="7">
        <v>3.544</v>
      </c>
      <c r="F21" s="7"/>
      <c r="G21" s="7"/>
      <c r="H21" s="7"/>
      <c r="I21" s="7"/>
      <c r="J21" s="8"/>
      <c r="K21" s="7"/>
      <c r="L21" s="7"/>
      <c r="M21" s="7">
        <v>10.323</v>
      </c>
      <c r="N21" s="7"/>
      <c r="O21" s="7">
        <v>4.26</v>
      </c>
      <c r="P21" s="7">
        <v>1.413</v>
      </c>
      <c r="Q21" s="7">
        <v>0.226</v>
      </c>
      <c r="R21" s="7">
        <v>0.652</v>
      </c>
      <c r="S21" s="7">
        <v>0.054</v>
      </c>
      <c r="T21" s="7">
        <v>13.787</v>
      </c>
      <c r="U21" s="7"/>
      <c r="V21" s="8"/>
      <c r="W21" s="8"/>
      <c r="X21" s="8"/>
      <c r="Y21" s="7"/>
      <c r="Z21" s="7"/>
      <c r="AA21" s="7">
        <f>SUM(D21:Z21)</f>
        <v>34.259</v>
      </c>
      <c r="AB21" s="87">
        <f t="shared" si="4"/>
        <v>-310.935</v>
      </c>
      <c r="AC21" s="85"/>
      <c r="AD21" s="84" t="s">
        <v>15</v>
      </c>
      <c r="AE21" s="86">
        <f>AA23</f>
        <v>16874.899999999998</v>
      </c>
      <c r="AF21" s="83"/>
      <c r="AG21" s="83"/>
    </row>
    <row r="22" spans="2:33" ht="15.75">
      <c r="B22" s="3" t="s">
        <v>5</v>
      </c>
      <c r="C22" s="23">
        <f>889.615+0.5+3.3+150</f>
        <v>1043.415</v>
      </c>
      <c r="D22" s="7">
        <v>0.19</v>
      </c>
      <c r="E22" s="7">
        <v>7.486</v>
      </c>
      <c r="F22" s="7">
        <v>1.629</v>
      </c>
      <c r="G22" s="7">
        <v>1.86</v>
      </c>
      <c r="H22" s="7">
        <v>142.849</v>
      </c>
      <c r="I22" s="7"/>
      <c r="J22" s="7">
        <v>17.583</v>
      </c>
      <c r="K22" s="7">
        <v>7.29</v>
      </c>
      <c r="L22" s="7">
        <v>1.875</v>
      </c>
      <c r="M22" s="7">
        <v>3.45</v>
      </c>
      <c r="N22" s="7"/>
      <c r="O22" s="7"/>
      <c r="P22" s="7">
        <v>2.127</v>
      </c>
      <c r="Q22" s="7">
        <v>123.803</v>
      </c>
      <c r="R22" s="7">
        <v>1.894</v>
      </c>
      <c r="S22" s="7">
        <v>1.134</v>
      </c>
      <c r="T22" s="7">
        <v>69.283</v>
      </c>
      <c r="U22" s="7"/>
      <c r="V22" s="7"/>
      <c r="W22" s="7"/>
      <c r="X22" s="7"/>
      <c r="Y22" s="7"/>
      <c r="Z22" s="7"/>
      <c r="AA22" s="7">
        <f>SUM(D22:Z22)</f>
        <v>382.453</v>
      </c>
      <c r="AB22" s="87">
        <f t="shared" si="4"/>
        <v>-660.962</v>
      </c>
      <c r="AC22" s="85"/>
      <c r="AD22" s="84" t="s">
        <v>52</v>
      </c>
      <c r="AE22" s="86">
        <f>$AA$29+$AA$31</f>
        <v>125.254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24514.369000000002</v>
      </c>
      <c r="D23" s="18">
        <f t="shared" si="6"/>
        <v>0</v>
      </c>
      <c r="E23" s="18">
        <f t="shared" si="6"/>
        <v>0</v>
      </c>
      <c r="F23" s="18">
        <f t="shared" si="6"/>
        <v>17.465</v>
      </c>
      <c r="G23" s="18">
        <f t="shared" si="6"/>
        <v>148.059</v>
      </c>
      <c r="H23" s="18">
        <f t="shared" si="6"/>
        <v>198.65500000000003</v>
      </c>
      <c r="I23" s="18">
        <f t="shared" si="6"/>
        <v>4215.491</v>
      </c>
      <c r="J23" s="18">
        <f t="shared" si="6"/>
        <v>2899.212</v>
      </c>
      <c r="K23" s="18">
        <f t="shared" si="6"/>
        <v>0</v>
      </c>
      <c r="L23" s="18">
        <f t="shared" si="6"/>
        <v>1638.007</v>
      </c>
      <c r="M23" s="18">
        <f t="shared" si="6"/>
        <v>0</v>
      </c>
      <c r="N23" s="18">
        <f t="shared" si="6"/>
        <v>0</v>
      </c>
      <c r="O23" s="18">
        <f t="shared" si="6"/>
        <v>39.425</v>
      </c>
      <c r="P23" s="18">
        <f t="shared" si="6"/>
        <v>19.067999999999998</v>
      </c>
      <c r="Q23" s="18">
        <f>SUM(Q24:Q28)</f>
        <v>0</v>
      </c>
      <c r="R23" s="18">
        <f t="shared" si="6"/>
        <v>3004.028</v>
      </c>
      <c r="S23" s="18">
        <f t="shared" si="6"/>
        <v>3844.2190000000005</v>
      </c>
      <c r="T23" s="18">
        <f>SUM(T24:T28)</f>
        <v>851.271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16874.899999999998</v>
      </c>
      <c r="AB23" s="87">
        <f t="shared" si="4"/>
        <v>-7639.469000000005</v>
      </c>
      <c r="AC23" s="82"/>
      <c r="AD23" s="84" t="s">
        <v>16</v>
      </c>
      <c r="AE23" s="86">
        <f>$AA$32+$AA$33+$AA$35+$AA$41+$AA$45+$AA$34</f>
        <v>1218.7220000000002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f>20652.922-20</f>
        <v>20632.922</v>
      </c>
      <c r="D24" s="7"/>
      <c r="E24" s="7"/>
      <c r="F24" s="7"/>
      <c r="G24" s="7"/>
      <c r="H24" s="7"/>
      <c r="I24" s="7">
        <f>890.274+3219.262</f>
        <v>4109.536</v>
      </c>
      <c r="J24" s="8">
        <f>896.821+12.043+1885</f>
        <v>2793.864</v>
      </c>
      <c r="K24" s="7"/>
      <c r="L24" s="7">
        <f>308.149+1063</f>
        <v>1371.149</v>
      </c>
      <c r="M24" s="7"/>
      <c r="N24" s="7"/>
      <c r="O24" s="7"/>
      <c r="P24" s="7">
        <v>4.179</v>
      </c>
      <c r="Q24" s="7"/>
      <c r="R24" s="25">
        <f>2285.703+501.526+58.776</f>
        <v>2846.0049999999997</v>
      </c>
      <c r="S24" s="7">
        <f>2589.251+1112.506+8.207</f>
        <v>3709.9640000000004</v>
      </c>
      <c r="T24" s="7">
        <f>240.454+564.682</f>
        <v>805.136</v>
      </c>
      <c r="U24" s="7"/>
      <c r="V24" s="8"/>
      <c r="W24" s="8"/>
      <c r="X24" s="8"/>
      <c r="Y24" s="7"/>
      <c r="Z24" s="7"/>
      <c r="AA24" s="7">
        <f>SUM(D24:Z24)</f>
        <v>15639.832999999999</v>
      </c>
      <c r="AB24" s="87">
        <f t="shared" si="4"/>
        <v>-4993.089</v>
      </c>
      <c r="AC24" s="85"/>
      <c r="AD24" s="84" t="s">
        <v>17</v>
      </c>
      <c r="AE24" s="86">
        <f>$AA$63+$AA$66+AA73</f>
        <v>1571.6280000000002</v>
      </c>
      <c r="AF24" s="83"/>
      <c r="AG24" s="83"/>
    </row>
    <row r="25" spans="2:33" ht="15.75">
      <c r="B25" s="3" t="s">
        <v>2</v>
      </c>
      <c r="C25" s="23">
        <v>16.722</v>
      </c>
      <c r="D25" s="7"/>
      <c r="E25" s="7"/>
      <c r="F25" s="7"/>
      <c r="G25" s="7"/>
      <c r="H25" s="7"/>
      <c r="I25" s="7"/>
      <c r="J25" s="8">
        <v>3</v>
      </c>
      <c r="K25" s="7"/>
      <c r="L25" s="7"/>
      <c r="M25" s="7"/>
      <c r="N25" s="7"/>
      <c r="O25" s="7"/>
      <c r="P25" s="7"/>
      <c r="Q25" s="7"/>
      <c r="R25" s="25"/>
      <c r="S25" s="7">
        <v>1.498</v>
      </c>
      <c r="T25" s="7"/>
      <c r="U25" s="7"/>
      <c r="V25" s="8"/>
      <c r="W25" s="8"/>
      <c r="X25" s="8"/>
      <c r="Y25" s="7"/>
      <c r="Z25" s="7"/>
      <c r="AA25" s="7">
        <f>SUM(D25:Z25)</f>
        <v>4.498</v>
      </c>
      <c r="AB25" s="87">
        <f t="shared" si="4"/>
        <v>-12.224</v>
      </c>
      <c r="AC25" s="85"/>
      <c r="AD25" s="84" t="s">
        <v>18</v>
      </c>
      <c r="AE25" s="86">
        <f>$AA$52</f>
        <v>770.645</v>
      </c>
      <c r="AF25" s="83"/>
      <c r="AG25" s="83"/>
    </row>
    <row r="26" spans="2:33" ht="15.75">
      <c r="B26" s="3" t="s">
        <v>0</v>
      </c>
      <c r="C26" s="23">
        <v>723.161</v>
      </c>
      <c r="D26" s="7"/>
      <c r="E26" s="7"/>
      <c r="F26" s="7"/>
      <c r="G26" s="7">
        <v>53.645</v>
      </c>
      <c r="H26" s="7">
        <v>71.343</v>
      </c>
      <c r="I26" s="7">
        <v>13.833</v>
      </c>
      <c r="J26" s="8">
        <v>60.682</v>
      </c>
      <c r="K26" s="7"/>
      <c r="L26" s="7">
        <v>27.851</v>
      </c>
      <c r="M26" s="7"/>
      <c r="N26" s="7"/>
      <c r="O26" s="7">
        <v>29.436</v>
      </c>
      <c r="P26" s="7"/>
      <c r="Q26" s="7"/>
      <c r="R26" s="25">
        <v>10.35</v>
      </c>
      <c r="S26" s="7">
        <v>43.389</v>
      </c>
      <c r="T26" s="7">
        <v>1.165</v>
      </c>
      <c r="U26" s="7"/>
      <c r="V26" s="8"/>
      <c r="W26" s="8"/>
      <c r="X26" s="8"/>
      <c r="Y26" s="7"/>
      <c r="Z26" s="7"/>
      <c r="AA26" s="7">
        <f>SUM(D26:Z26)</f>
        <v>311.694</v>
      </c>
      <c r="AB26" s="87">
        <f t="shared" si="4"/>
        <v>-411.4669999999999</v>
      </c>
      <c r="AC26" s="85"/>
      <c r="AD26" s="84" t="s">
        <v>19</v>
      </c>
      <c r="AE26" s="86">
        <f>$AA$57</f>
        <v>423.03799999999995</v>
      </c>
      <c r="AF26" s="83"/>
      <c r="AG26" s="83"/>
    </row>
    <row r="27" spans="2:33" ht="15.75">
      <c r="B27" s="3" t="s">
        <v>1</v>
      </c>
      <c r="C27" s="23">
        <v>648.06</v>
      </c>
      <c r="D27" s="7"/>
      <c r="E27" s="7"/>
      <c r="F27" s="7">
        <v>0.146</v>
      </c>
      <c r="G27" s="7">
        <v>4.057</v>
      </c>
      <c r="H27" s="7">
        <v>1.381</v>
      </c>
      <c r="I27" s="7">
        <v>15.094</v>
      </c>
      <c r="J27" s="8">
        <v>12.366</v>
      </c>
      <c r="K27" s="7"/>
      <c r="L27" s="7">
        <v>25.277</v>
      </c>
      <c r="M27" s="7"/>
      <c r="N27" s="7"/>
      <c r="O27" s="7"/>
      <c r="P27" s="7"/>
      <c r="Q27" s="7"/>
      <c r="R27" s="25">
        <v>99.748</v>
      </c>
      <c r="S27" s="7">
        <v>22.918</v>
      </c>
      <c r="T27" s="7">
        <v>6.864</v>
      </c>
      <c r="U27" s="7"/>
      <c r="V27" s="8"/>
      <c r="W27" s="8"/>
      <c r="X27" s="8"/>
      <c r="Y27" s="7"/>
      <c r="Z27" s="7"/>
      <c r="AA27" s="7">
        <f>SUM(D27:Z27)</f>
        <v>187.85100000000003</v>
      </c>
      <c r="AB27" s="87">
        <f t="shared" si="4"/>
        <v>-460.20899999999995</v>
      </c>
      <c r="AC27" s="85"/>
      <c r="AD27" s="84" t="s">
        <v>20</v>
      </c>
      <c r="AE27" s="86">
        <f>$AA$49+$AA$70+$AA$75+$AA$76+$AA$80+$AA$72+$AA$74+$AA$77+$AA$78+$AA$79</f>
        <v>5419.2609999999995</v>
      </c>
      <c r="AF27" s="83"/>
      <c r="AG27" s="83"/>
    </row>
    <row r="28" spans="2:33" ht="15.75">
      <c r="B28" s="3" t="s">
        <v>5</v>
      </c>
      <c r="C28" s="23">
        <f>2156.538+26+241.515+45.99+23.461</f>
        <v>2493.5039999999995</v>
      </c>
      <c r="D28" s="7"/>
      <c r="E28" s="7"/>
      <c r="F28" s="7">
        <v>17.319</v>
      </c>
      <c r="G28" s="7">
        <f>64.609+25.748</f>
        <v>90.357</v>
      </c>
      <c r="H28" s="7">
        <f>41.023+84.908</f>
        <v>125.93100000000001</v>
      </c>
      <c r="I28" s="7">
        <f>31.878+45.15</f>
        <v>77.02799999999999</v>
      </c>
      <c r="J28" s="7">
        <v>29.3</v>
      </c>
      <c r="K28" s="7"/>
      <c r="L28" s="7">
        <f>141.22+72.51</f>
        <v>213.73000000000002</v>
      </c>
      <c r="M28" s="7"/>
      <c r="N28" s="7"/>
      <c r="O28" s="7">
        <v>9.989</v>
      </c>
      <c r="P28" s="7">
        <v>14.889</v>
      </c>
      <c r="Q28" s="7"/>
      <c r="R28" s="7">
        <v>47.925</v>
      </c>
      <c r="S28" s="7">
        <f>64.019+2.431</f>
        <v>66.45</v>
      </c>
      <c r="T28" s="7">
        <f>34.576+3.53</f>
        <v>38.106</v>
      </c>
      <c r="U28" s="7"/>
      <c r="V28" s="7"/>
      <c r="W28" s="7"/>
      <c r="X28" s="7"/>
      <c r="Y28" s="7"/>
      <c r="Z28" s="7"/>
      <c r="AA28" s="7">
        <f>SUM(D28:Z28)</f>
        <v>731.024</v>
      </c>
      <c r="AB28" s="87">
        <f t="shared" si="4"/>
        <v>-1762.4799999999996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548.729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22.228</v>
      </c>
      <c r="G29" s="18">
        <f t="shared" si="7"/>
        <v>0</v>
      </c>
      <c r="H29" s="18">
        <f t="shared" si="7"/>
        <v>0</v>
      </c>
      <c r="I29" s="18">
        <f t="shared" si="7"/>
        <v>0.31</v>
      </c>
      <c r="J29" s="18">
        <f t="shared" si="7"/>
        <v>0</v>
      </c>
      <c r="K29" s="18">
        <f t="shared" si="7"/>
        <v>30.733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71.983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125.254</v>
      </c>
      <c r="AB29" s="87">
        <f t="shared" si="4"/>
        <v>-423.475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v>548.729</v>
      </c>
      <c r="D30" s="8"/>
      <c r="E30" s="8"/>
      <c r="F30" s="8">
        <v>22.228</v>
      </c>
      <c r="G30" s="8"/>
      <c r="H30" s="8"/>
      <c r="I30" s="8">
        <v>0.31</v>
      </c>
      <c r="J30" s="8"/>
      <c r="K30" s="8">
        <v>30.733</v>
      </c>
      <c r="L30" s="8"/>
      <c r="M30" s="8"/>
      <c r="N30" s="8"/>
      <c r="O30" s="8"/>
      <c r="P30" s="8"/>
      <c r="Q30" s="8">
        <v>71.983</v>
      </c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125.254</v>
      </c>
      <c r="AB30" s="53">
        <f t="shared" si="4"/>
        <v>-423.475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v>752.902</v>
      </c>
      <c r="D32" s="18"/>
      <c r="E32" s="18"/>
      <c r="F32" s="18">
        <v>6.441</v>
      </c>
      <c r="G32" s="18">
        <v>11.646</v>
      </c>
      <c r="H32" s="18">
        <f>8+49.32</f>
        <v>57.32</v>
      </c>
      <c r="I32" s="18"/>
      <c r="J32" s="18"/>
      <c r="K32" s="18">
        <v>2.265</v>
      </c>
      <c r="L32" s="18"/>
      <c r="M32" s="18">
        <v>228.7</v>
      </c>
      <c r="N32" s="18"/>
      <c r="O32" s="18">
        <v>4.5</v>
      </c>
      <c r="P32" s="18">
        <v>9.25</v>
      </c>
      <c r="Q32" s="18">
        <v>1.01</v>
      </c>
      <c r="R32" s="18"/>
      <c r="S32" s="18"/>
      <c r="T32" s="18">
        <v>14.58</v>
      </c>
      <c r="U32" s="60"/>
      <c r="V32" s="60"/>
      <c r="W32" s="60"/>
      <c r="X32" s="18"/>
      <c r="Y32" s="18"/>
      <c r="Z32" s="18"/>
      <c r="AA32" s="18">
        <f>SUM(D32:Z32)</f>
        <v>335.71199999999993</v>
      </c>
      <c r="AB32" s="53">
        <f t="shared" si="4"/>
        <v>-417.1900000000001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611.593</v>
      </c>
      <c r="D33" s="18"/>
      <c r="E33" s="18"/>
      <c r="F33" s="18"/>
      <c r="G33" s="18">
        <v>118.325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118.325</v>
      </c>
      <c r="AB33" s="53">
        <f t="shared" si="4"/>
        <v>-493.268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67.622</v>
      </c>
      <c r="D34" s="18"/>
      <c r="E34" s="18"/>
      <c r="F34" s="18">
        <v>38.804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38.804</v>
      </c>
      <c r="AB34" s="53">
        <f t="shared" si="4"/>
        <v>-28.817999999999998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644.706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13.952000000000002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200.74900000000002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6.44</v>
      </c>
      <c r="R35" s="18">
        <f t="shared" si="8"/>
        <v>0</v>
      </c>
      <c r="S35" s="18">
        <f t="shared" si="8"/>
        <v>305.887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527.028</v>
      </c>
      <c r="AB35" s="53">
        <f t="shared" si="4"/>
        <v>-117.678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549.904</v>
      </c>
      <c r="D36" s="7"/>
      <c r="E36" s="7"/>
      <c r="F36" s="7"/>
      <c r="G36" s="7">
        <v>4.836</v>
      </c>
      <c r="H36" s="7"/>
      <c r="I36" s="7"/>
      <c r="J36" s="8"/>
      <c r="K36" s="7"/>
      <c r="L36" s="7">
        <v>199.372</v>
      </c>
      <c r="M36" s="7"/>
      <c r="N36" s="7"/>
      <c r="O36" s="7"/>
      <c r="P36" s="25"/>
      <c r="Q36" s="7"/>
      <c r="R36" s="25"/>
      <c r="S36" s="7">
        <v>302.587</v>
      </c>
      <c r="T36" s="7"/>
      <c r="U36" s="7"/>
      <c r="V36" s="8"/>
      <c r="W36" s="8"/>
      <c r="X36" s="7"/>
      <c r="Y36" s="7"/>
      <c r="Z36" s="7"/>
      <c r="AA36" s="7">
        <f>SUM(D36:Z36)</f>
        <v>506.795</v>
      </c>
      <c r="AB36" s="53">
        <f t="shared" si="4"/>
        <v>-43.10899999999998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2.405</v>
      </c>
      <c r="D37" s="7"/>
      <c r="E37" s="7"/>
      <c r="F37" s="7"/>
      <c r="G37" s="7">
        <v>1.794</v>
      </c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1.794</v>
      </c>
      <c r="AB37" s="53">
        <f t="shared" si="4"/>
        <v>-0.6109999999999998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>
        <v>3.3</v>
      </c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14.046</v>
      </c>
      <c r="D39" s="7"/>
      <c r="E39" s="7"/>
      <c r="F39" s="7"/>
      <c r="G39" s="7">
        <v>1.589</v>
      </c>
      <c r="H39" s="7"/>
      <c r="I39" s="7"/>
      <c r="J39" s="7"/>
      <c r="K39" s="7"/>
      <c r="L39" s="7"/>
      <c r="M39" s="7"/>
      <c r="N39" s="7"/>
      <c r="O39" s="7"/>
      <c r="P39" s="25"/>
      <c r="Q39" s="7">
        <v>2.306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3.895</v>
      </c>
      <c r="AB39" s="53">
        <f t="shared" si="4"/>
        <v>-10.151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15.111+59.94</f>
        <v>75.051</v>
      </c>
      <c r="D40" s="7"/>
      <c r="E40" s="7"/>
      <c r="F40" s="7"/>
      <c r="G40" s="7">
        <v>5.733</v>
      </c>
      <c r="H40" s="7"/>
      <c r="I40" s="7"/>
      <c r="J40" s="7"/>
      <c r="K40" s="7"/>
      <c r="L40" s="7">
        <v>1.377</v>
      </c>
      <c r="M40" s="7"/>
      <c r="N40" s="7"/>
      <c r="O40" s="7"/>
      <c r="P40" s="7"/>
      <c r="Q40" s="7">
        <v>4.134</v>
      </c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11.244</v>
      </c>
      <c r="AB40" s="53">
        <f t="shared" si="4"/>
        <v>-63.807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310.60400000000004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52.400999999999996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1.194</v>
      </c>
      <c r="Q41" s="18">
        <f t="shared" si="10"/>
        <v>0</v>
      </c>
      <c r="R41" s="18">
        <f t="shared" si="10"/>
        <v>0</v>
      </c>
      <c r="S41" s="18">
        <f t="shared" si="10"/>
        <v>65.156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118.751</v>
      </c>
      <c r="AB41" s="53">
        <f t="shared" si="4"/>
        <v>-191.85300000000004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f>248.599+31+8.6</f>
        <v>288.199</v>
      </c>
      <c r="D42" s="7"/>
      <c r="E42" s="7"/>
      <c r="F42" s="7"/>
      <c r="G42" s="7"/>
      <c r="H42" s="7"/>
      <c r="I42" s="7">
        <f>30.37+19.6</f>
        <v>49.97</v>
      </c>
      <c r="J42" s="8"/>
      <c r="K42" s="7"/>
      <c r="L42" s="7"/>
      <c r="M42" s="7"/>
      <c r="N42" s="7"/>
      <c r="O42" s="7"/>
      <c r="P42" s="25"/>
      <c r="Q42" s="7"/>
      <c r="R42" s="25"/>
      <c r="S42" s="7">
        <f>42.327+21.692</f>
        <v>64.019</v>
      </c>
      <c r="T42" s="7"/>
      <c r="U42" s="7"/>
      <c r="V42" s="8"/>
      <c r="W42" s="8"/>
      <c r="X42" s="7"/>
      <c r="Y42" s="7"/>
      <c r="Z42" s="7"/>
      <c r="AA42" s="7">
        <f>SUM(D42:Z42)</f>
        <v>113.989</v>
      </c>
      <c r="AB42" s="53">
        <f t="shared" si="4"/>
        <v>-174.21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11.99</v>
      </c>
      <c r="D43" s="7"/>
      <c r="E43" s="7"/>
      <c r="F43" s="7"/>
      <c r="G43" s="7"/>
      <c r="H43" s="7"/>
      <c r="I43" s="7"/>
      <c r="J43" s="8"/>
      <c r="K43" s="7"/>
      <c r="L43" s="7"/>
      <c r="M43" s="7"/>
      <c r="N43" s="7"/>
      <c r="O43" s="7"/>
      <c r="P43" s="7">
        <v>1.194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1.194</v>
      </c>
      <c r="AB43" s="53">
        <f t="shared" si="4"/>
        <v>-10.796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10.415</v>
      </c>
      <c r="D44" s="7"/>
      <c r="E44" s="7"/>
      <c r="F44" s="7"/>
      <c r="G44" s="7"/>
      <c r="H44" s="7"/>
      <c r="I44" s="7">
        <v>2.431</v>
      </c>
      <c r="J44" s="7"/>
      <c r="K44" s="7"/>
      <c r="L44" s="7"/>
      <c r="M44" s="7"/>
      <c r="N44" s="7"/>
      <c r="O44" s="7"/>
      <c r="P44" s="7"/>
      <c r="Q44" s="7"/>
      <c r="R44" s="7"/>
      <c r="S44" s="7">
        <v>1.137</v>
      </c>
      <c r="T44" s="7"/>
      <c r="U44" s="7"/>
      <c r="V44" s="7"/>
      <c r="W44" s="7"/>
      <c r="X44" s="7"/>
      <c r="Y44" s="7"/>
      <c r="Z44" s="7"/>
      <c r="AA44" s="7">
        <f>SUM(D44:Z44)</f>
        <v>3.568</v>
      </c>
      <c r="AB44" s="53">
        <f t="shared" si="4"/>
        <v>-6.8469999999999995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247.139</v>
      </c>
      <c r="D45" s="18">
        <f t="shared" si="12"/>
        <v>0</v>
      </c>
      <c r="E45" s="18">
        <f t="shared" si="12"/>
        <v>0</v>
      </c>
      <c r="F45" s="18">
        <f t="shared" si="12"/>
        <v>40.84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39.262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80.102</v>
      </c>
      <c r="AB45" s="53">
        <f t="shared" si="4"/>
        <v>-167.037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239.286</v>
      </c>
      <c r="D46" s="7"/>
      <c r="E46" s="7"/>
      <c r="F46" s="7">
        <v>40.84</v>
      </c>
      <c r="G46" s="7"/>
      <c r="H46" s="7"/>
      <c r="I46" s="7"/>
      <c r="J46" s="8"/>
      <c r="K46" s="7"/>
      <c r="L46" s="7"/>
      <c r="M46" s="7"/>
      <c r="N46" s="7"/>
      <c r="O46" s="7"/>
      <c r="P46" s="7"/>
      <c r="Q46" s="7">
        <v>39.262</v>
      </c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80.102</v>
      </c>
      <c r="AB46" s="53">
        <f t="shared" si="4"/>
        <v>-159.184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4</v>
      </c>
      <c r="D47" s="7"/>
      <c r="E47" s="7"/>
      <c r="F47" s="7"/>
      <c r="G47" s="7"/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</v>
      </c>
      <c r="AB47" s="53">
        <f t="shared" si="4"/>
        <v>-4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3.853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-3.853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95.375</v>
      </c>
      <c r="D49" s="18">
        <f aca="true" t="shared" si="13" ref="D49:Y49">D50+D51</f>
        <v>0</v>
      </c>
      <c r="E49" s="18">
        <f t="shared" si="13"/>
        <v>5.176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0.453</v>
      </c>
      <c r="J49" s="18">
        <f t="shared" si="13"/>
        <v>0</v>
      </c>
      <c r="K49" s="18">
        <f t="shared" si="13"/>
        <v>0</v>
      </c>
      <c r="L49" s="18">
        <f t="shared" si="13"/>
        <v>4.2</v>
      </c>
      <c r="M49" s="18">
        <f t="shared" si="13"/>
        <v>0.604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39.851</v>
      </c>
      <c r="R49" s="18">
        <f t="shared" si="13"/>
        <v>0</v>
      </c>
      <c r="S49" s="18">
        <f t="shared" si="13"/>
        <v>0</v>
      </c>
      <c r="T49" s="18">
        <f>T50+T51</f>
        <v>11.188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61.472</v>
      </c>
      <c r="AB49" s="53">
        <f t="shared" si="4"/>
        <v>-33.903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79.25</v>
      </c>
      <c r="D50" s="8"/>
      <c r="E50" s="8"/>
      <c r="F50" s="8"/>
      <c r="G50" s="8"/>
      <c r="H50" s="8"/>
      <c r="I50" s="8"/>
      <c r="J50" s="8"/>
      <c r="K50" s="8"/>
      <c r="L50" s="8">
        <v>4.2</v>
      </c>
      <c r="M50" s="8"/>
      <c r="N50" s="8"/>
      <c r="O50" s="8"/>
      <c r="P50" s="8"/>
      <c r="Q50" s="8">
        <v>39.851</v>
      </c>
      <c r="R50" s="8"/>
      <c r="S50" s="8"/>
      <c r="T50" s="8">
        <v>11.188</v>
      </c>
      <c r="U50" s="8"/>
      <c r="V50" s="8"/>
      <c r="W50" s="8"/>
      <c r="X50" s="8"/>
      <c r="Y50" s="8"/>
      <c r="Z50" s="8"/>
      <c r="AA50" s="7">
        <f>SUM(D50:Z50)</f>
        <v>55.239000000000004</v>
      </c>
      <c r="AB50" s="53">
        <f t="shared" si="4"/>
        <v>-24.010999999999996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16.125</v>
      </c>
      <c r="D51" s="8"/>
      <c r="E51" s="8">
        <v>5.176</v>
      </c>
      <c r="F51" s="8"/>
      <c r="G51" s="8"/>
      <c r="H51" s="8"/>
      <c r="I51" s="8">
        <v>0.453</v>
      </c>
      <c r="J51" s="8"/>
      <c r="K51" s="8"/>
      <c r="L51" s="8"/>
      <c r="M51" s="8">
        <v>0.604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6.2330000000000005</v>
      </c>
      <c r="AB51" s="53">
        <f t="shared" si="4"/>
        <v>-9.892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1252.476</v>
      </c>
      <c r="D52" s="18">
        <f t="shared" si="14"/>
        <v>0</v>
      </c>
      <c r="E52" s="18">
        <f t="shared" si="14"/>
        <v>3.787</v>
      </c>
      <c r="F52" s="18">
        <f t="shared" si="14"/>
        <v>0</v>
      </c>
      <c r="G52" s="18">
        <f t="shared" si="14"/>
        <v>4.845</v>
      </c>
      <c r="H52" s="18">
        <f t="shared" si="14"/>
        <v>1.465</v>
      </c>
      <c r="I52" s="18">
        <f t="shared" si="14"/>
        <v>0.367</v>
      </c>
      <c r="J52" s="18">
        <f t="shared" si="14"/>
        <v>147.32299999999998</v>
      </c>
      <c r="K52" s="18">
        <f t="shared" si="14"/>
        <v>40.9</v>
      </c>
      <c r="L52" s="18">
        <f t="shared" si="14"/>
        <v>2.346</v>
      </c>
      <c r="M52" s="18">
        <f t="shared" si="14"/>
        <v>0</v>
      </c>
      <c r="N52" s="18">
        <f t="shared" si="14"/>
        <v>0</v>
      </c>
      <c r="O52" s="18">
        <f t="shared" si="14"/>
        <v>13.349</v>
      </c>
      <c r="P52" s="18">
        <f t="shared" si="14"/>
        <v>266.305</v>
      </c>
      <c r="Q52" s="18">
        <f t="shared" si="14"/>
        <v>5.329</v>
      </c>
      <c r="R52" s="18">
        <f t="shared" si="14"/>
        <v>19.497999999999998</v>
      </c>
      <c r="S52" s="18">
        <f t="shared" si="14"/>
        <v>7.7</v>
      </c>
      <c r="T52" s="18">
        <f>SUM(T53:T56)</f>
        <v>257.431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770.645</v>
      </c>
      <c r="AB52" s="53">
        <f t="shared" si="4"/>
        <v>-481.83100000000013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838.283</v>
      </c>
      <c r="D53" s="7"/>
      <c r="E53" s="7">
        <v>2.947</v>
      </c>
      <c r="F53" s="7"/>
      <c r="G53" s="7"/>
      <c r="H53" s="7"/>
      <c r="I53" s="7"/>
      <c r="J53" s="8">
        <v>144.789</v>
      </c>
      <c r="K53" s="7"/>
      <c r="L53" s="7"/>
      <c r="M53" s="7"/>
      <c r="N53" s="7"/>
      <c r="O53" s="7"/>
      <c r="P53" s="25">
        <v>219.429</v>
      </c>
      <c r="Q53" s="7"/>
      <c r="R53" s="25">
        <v>15.469</v>
      </c>
      <c r="S53" s="7"/>
      <c r="T53" s="7">
        <v>257.335</v>
      </c>
      <c r="U53" s="7"/>
      <c r="V53" s="8"/>
      <c r="W53" s="8"/>
      <c r="X53" s="8"/>
      <c r="Y53" s="7"/>
      <c r="Z53" s="7"/>
      <c r="AA53" s="7">
        <f>SUM(D53:Z53)</f>
        <v>639.9689999999999</v>
      </c>
      <c r="AB53" s="53">
        <f t="shared" si="4"/>
        <v>-198.31400000000008</v>
      </c>
    </row>
    <row r="54" spans="2:28" ht="15.75">
      <c r="B54" s="3" t="s">
        <v>1</v>
      </c>
      <c r="C54" s="23">
        <f>73.287-6</f>
        <v>67.287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>
        <v>2.544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2.544</v>
      </c>
      <c r="AB54" s="53">
        <f t="shared" si="4"/>
        <v>-64.74300000000001</v>
      </c>
    </row>
    <row r="55" spans="2:28" ht="15.75">
      <c r="B55" s="3" t="s">
        <v>9</v>
      </c>
      <c r="C55" s="23">
        <v>6.62</v>
      </c>
      <c r="D55" s="7"/>
      <c r="E55" s="7"/>
      <c r="F55" s="7"/>
      <c r="G55" s="7">
        <v>0.782</v>
      </c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0.782</v>
      </c>
      <c r="AB55" s="53">
        <f t="shared" si="4"/>
        <v>-5.838</v>
      </c>
    </row>
    <row r="56" spans="2:29" ht="15.75">
      <c r="B56" s="3" t="s">
        <v>5</v>
      </c>
      <c r="C56" s="23">
        <f>297.749+42.537</f>
        <v>340.286</v>
      </c>
      <c r="D56" s="7"/>
      <c r="E56" s="7">
        <v>0.84</v>
      </c>
      <c r="F56" s="7"/>
      <c r="G56" s="7">
        <v>4.063</v>
      </c>
      <c r="H56" s="7">
        <v>1.465</v>
      </c>
      <c r="I56" s="7">
        <v>0.367</v>
      </c>
      <c r="J56" s="7">
        <v>2.534</v>
      </c>
      <c r="K56" s="7">
        <v>40.9</v>
      </c>
      <c r="L56" s="7">
        <v>2.346</v>
      </c>
      <c r="M56" s="7"/>
      <c r="N56" s="7"/>
      <c r="O56" s="7">
        <v>13.349</v>
      </c>
      <c r="P56" s="7">
        <v>44.332</v>
      </c>
      <c r="Q56" s="7">
        <v>5.329</v>
      </c>
      <c r="R56" s="7">
        <v>4.029</v>
      </c>
      <c r="S56" s="7">
        <v>7.7</v>
      </c>
      <c r="T56" s="7">
        <v>0.096</v>
      </c>
      <c r="U56" s="7"/>
      <c r="V56" s="7"/>
      <c r="W56" s="7"/>
      <c r="X56" s="7"/>
      <c r="Y56" s="7"/>
      <c r="Z56" s="7"/>
      <c r="AA56" s="7">
        <f>SUM(D56:Z56)</f>
        <v>127.35</v>
      </c>
      <c r="AB56" s="53">
        <f t="shared" si="4"/>
        <v>-212.936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1195.2685099999999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0.42</v>
      </c>
      <c r="G57" s="18">
        <f t="shared" si="15"/>
        <v>0</v>
      </c>
      <c r="H57" s="18">
        <f t="shared" si="15"/>
        <v>20.939</v>
      </c>
      <c r="I57" s="18">
        <f t="shared" si="15"/>
        <v>0</v>
      </c>
      <c r="J57" s="18">
        <f t="shared" si="15"/>
        <v>0</v>
      </c>
      <c r="K57" s="18">
        <f t="shared" si="15"/>
        <v>95.394</v>
      </c>
      <c r="L57" s="18">
        <f t="shared" si="15"/>
        <v>0.845</v>
      </c>
      <c r="M57" s="18">
        <f t="shared" si="15"/>
        <v>0</v>
      </c>
      <c r="N57" s="18">
        <f t="shared" si="15"/>
        <v>0</v>
      </c>
      <c r="O57" s="18">
        <f t="shared" si="15"/>
        <v>3.8</v>
      </c>
      <c r="P57" s="18">
        <f t="shared" si="15"/>
        <v>0.766</v>
      </c>
      <c r="Q57" s="18">
        <f t="shared" si="15"/>
        <v>16.198</v>
      </c>
      <c r="R57" s="18">
        <f t="shared" si="15"/>
        <v>22.673</v>
      </c>
      <c r="S57" s="18">
        <f t="shared" si="15"/>
        <v>261.009</v>
      </c>
      <c r="T57" s="18">
        <f>SUM(T58:T62)</f>
        <v>1.52</v>
      </c>
      <c r="U57" s="18">
        <f>SUM(U58:U62)</f>
        <v>-0.526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423.03799999999995</v>
      </c>
      <c r="AB57" s="53">
        <f t="shared" si="4"/>
        <v>-772.2305099999999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759.287</v>
      </c>
      <c r="D58" s="7"/>
      <c r="E58" s="7"/>
      <c r="F58" s="7"/>
      <c r="G58" s="7"/>
      <c r="H58" s="7"/>
      <c r="I58" s="7"/>
      <c r="J58" s="25"/>
      <c r="K58" s="7">
        <v>84.045</v>
      </c>
      <c r="L58" s="7"/>
      <c r="M58" s="7"/>
      <c r="N58" s="7"/>
      <c r="O58" s="7"/>
      <c r="P58" s="25"/>
      <c r="Q58" s="7"/>
      <c r="R58" s="25"/>
      <c r="S58" s="7">
        <v>227.029</v>
      </c>
      <c r="T58" s="7"/>
      <c r="U58" s="7"/>
      <c r="V58" s="8"/>
      <c r="W58" s="8"/>
      <c r="X58" s="7"/>
      <c r="Y58" s="7"/>
      <c r="Z58" s="7"/>
      <c r="AA58" s="7">
        <f>SUM(D58:Z58)</f>
        <v>311.074</v>
      </c>
      <c r="AB58" s="53">
        <f t="shared" si="4"/>
        <v>-448.213</v>
      </c>
    </row>
    <row r="59" spans="2:28" ht="15.75">
      <c r="B59" s="3" t="s">
        <v>2</v>
      </c>
      <c r="C59" s="23">
        <v>0.00051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-0.00051</v>
      </c>
    </row>
    <row r="60" spans="2:28" ht="15.75">
      <c r="B60" s="3" t="s">
        <v>1</v>
      </c>
      <c r="C60" s="23">
        <v>37.305</v>
      </c>
      <c r="D60" s="7"/>
      <c r="E60" s="7"/>
      <c r="F60" s="7"/>
      <c r="G60" s="7"/>
      <c r="H60" s="7"/>
      <c r="I60" s="7"/>
      <c r="J60" s="8"/>
      <c r="K60" s="7"/>
      <c r="L60" s="7"/>
      <c r="M60" s="7"/>
      <c r="N60" s="7"/>
      <c r="O60" s="7"/>
      <c r="P60" s="25"/>
      <c r="Q60" s="7">
        <v>3.498</v>
      </c>
      <c r="R60" s="7"/>
      <c r="S60" s="7"/>
      <c r="T60" s="7"/>
      <c r="U60" s="7">
        <v>-0.127</v>
      </c>
      <c r="V60" s="8"/>
      <c r="W60" s="8"/>
      <c r="X60" s="7"/>
      <c r="Y60" s="7"/>
      <c r="Z60" s="7"/>
      <c r="AA60" s="7">
        <f>SUM(D60:Z60)</f>
        <v>3.3710000000000004</v>
      </c>
      <c r="AB60" s="53">
        <f t="shared" si="4"/>
        <v>-33.934</v>
      </c>
    </row>
    <row r="61" spans="2:28" ht="15.75">
      <c r="B61" s="3" t="s">
        <v>10</v>
      </c>
      <c r="C61" s="23">
        <v>82.123</v>
      </c>
      <c r="D61" s="7"/>
      <c r="E61" s="7"/>
      <c r="F61" s="7">
        <v>0.42</v>
      </c>
      <c r="G61" s="7"/>
      <c r="H61" s="7">
        <v>7.907</v>
      </c>
      <c r="I61" s="7"/>
      <c r="J61" s="8"/>
      <c r="K61" s="7"/>
      <c r="L61" s="7">
        <v>0.845</v>
      </c>
      <c r="M61" s="7"/>
      <c r="N61" s="7"/>
      <c r="O61" s="7"/>
      <c r="P61" s="7"/>
      <c r="Q61" s="7"/>
      <c r="R61" s="7">
        <v>22.673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31.845</v>
      </c>
      <c r="AB61" s="53">
        <f t="shared" si="4"/>
        <v>-50.278000000000006</v>
      </c>
    </row>
    <row r="62" spans="2:28" ht="15.75">
      <c r="B62" s="3" t="s">
        <v>5</v>
      </c>
      <c r="C62" s="23">
        <f>219.453+63.1+11+23</f>
        <v>316.553</v>
      </c>
      <c r="D62" s="7"/>
      <c r="E62" s="7"/>
      <c r="F62" s="7"/>
      <c r="G62" s="7"/>
      <c r="H62" s="7">
        <v>13.032</v>
      </c>
      <c r="I62" s="7"/>
      <c r="J62" s="7"/>
      <c r="K62" s="7">
        <v>11.349</v>
      </c>
      <c r="L62" s="7"/>
      <c r="M62" s="7"/>
      <c r="N62" s="7"/>
      <c r="O62" s="7">
        <v>3.8</v>
      </c>
      <c r="P62" s="7">
        <v>0.766</v>
      </c>
      <c r="Q62" s="7">
        <v>12.7</v>
      </c>
      <c r="R62" s="7"/>
      <c r="S62" s="7">
        <v>33.98</v>
      </c>
      <c r="T62" s="7">
        <v>1.52</v>
      </c>
      <c r="U62" s="7">
        <v>-0.399</v>
      </c>
      <c r="V62" s="7"/>
      <c r="W62" s="7"/>
      <c r="X62" s="7"/>
      <c r="Y62" s="7"/>
      <c r="Z62" s="7"/>
      <c r="AA62" s="7">
        <f>SUM(D62:Z62)</f>
        <v>76.748</v>
      </c>
      <c r="AB62" s="53">
        <f t="shared" si="4"/>
        <v>-239.805</v>
      </c>
    </row>
    <row r="63" spans="2:28" ht="15.75">
      <c r="B63" s="13" t="s">
        <v>44</v>
      </c>
      <c r="C63" s="18">
        <f>C64+C65</f>
        <v>3976.2870000000003</v>
      </c>
      <c r="D63" s="18">
        <f aca="true" t="shared" si="16" ref="D63:AA63">D64+D65</f>
        <v>0</v>
      </c>
      <c r="E63" s="18">
        <f t="shared" si="16"/>
        <v>13.998</v>
      </c>
      <c r="F63" s="18">
        <f t="shared" si="16"/>
        <v>846.22</v>
      </c>
      <c r="G63" s="18">
        <f t="shared" si="16"/>
        <v>0</v>
      </c>
      <c r="H63" s="18">
        <f t="shared" si="16"/>
        <v>10.507</v>
      </c>
      <c r="I63" s="18">
        <f t="shared" si="16"/>
        <v>0</v>
      </c>
      <c r="J63" s="18">
        <f t="shared" si="16"/>
        <v>0</v>
      </c>
      <c r="K63" s="18">
        <f t="shared" si="16"/>
        <v>87.349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562.75</v>
      </c>
      <c r="Q63" s="18">
        <f t="shared" si="16"/>
        <v>0</v>
      </c>
      <c r="R63" s="18">
        <f t="shared" si="16"/>
        <v>0</v>
      </c>
      <c r="S63" s="18">
        <f t="shared" si="16"/>
        <v>42.116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1562.94</v>
      </c>
      <c r="AB63" s="53">
        <f t="shared" si="4"/>
        <v>-2413.347</v>
      </c>
    </row>
    <row r="64" spans="2:28" ht="15.75">
      <c r="B64" s="32" t="s">
        <v>49</v>
      </c>
      <c r="C64" s="27">
        <f>298.858+159</f>
        <v>457.858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-457.858</v>
      </c>
    </row>
    <row r="65" spans="2:28" ht="15.75">
      <c r="B65" s="32" t="s">
        <v>10</v>
      </c>
      <c r="C65" s="27">
        <f>3501.429+17</f>
        <v>3518.429</v>
      </c>
      <c r="D65" s="8"/>
      <c r="E65" s="8">
        <v>13.998</v>
      </c>
      <c r="F65" s="8">
        <v>846.22</v>
      </c>
      <c r="G65" s="8"/>
      <c r="H65" s="8">
        <v>10.507</v>
      </c>
      <c r="I65" s="8"/>
      <c r="J65" s="8"/>
      <c r="K65" s="8">
        <v>87.349</v>
      </c>
      <c r="L65" s="8"/>
      <c r="M65" s="8"/>
      <c r="N65" s="8"/>
      <c r="O65" s="8"/>
      <c r="P65" s="8">
        <v>562.75</v>
      </c>
      <c r="Q65" s="8"/>
      <c r="R65" s="8"/>
      <c r="S65" s="8">
        <v>42.116</v>
      </c>
      <c r="T65" s="8"/>
      <c r="U65" s="8"/>
      <c r="V65" s="8"/>
      <c r="W65" s="8"/>
      <c r="X65" s="8"/>
      <c r="Y65" s="8"/>
      <c r="Z65" s="8"/>
      <c r="AA65" s="8">
        <f>SUM(D65:Z65)</f>
        <v>1562.94</v>
      </c>
      <c r="AB65" s="53">
        <f t="shared" si="4"/>
        <v>-1955.489</v>
      </c>
    </row>
    <row r="66" spans="2:28" ht="15.75">
      <c r="B66" s="13" t="s">
        <v>63</v>
      </c>
      <c r="C66" s="18">
        <f>C67+C68</f>
        <v>45.181</v>
      </c>
      <c r="D66" s="18">
        <f aca="true" t="shared" si="17" ref="D66:AA66">D67+D68</f>
        <v>0</v>
      </c>
      <c r="E66" s="18">
        <f t="shared" si="17"/>
        <v>3.588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5.1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8.687999999999999</v>
      </c>
      <c r="AB66" s="53">
        <f t="shared" si="4"/>
        <v>-36.492999999999995</v>
      </c>
    </row>
    <row r="67" spans="2:28" ht="15.75">
      <c r="B67" s="3" t="s">
        <v>1</v>
      </c>
      <c r="C67" s="27">
        <v>15.634</v>
      </c>
      <c r="D67" s="8"/>
      <c r="E67" s="8">
        <v>2.934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2.934</v>
      </c>
      <c r="AB67" s="53">
        <f t="shared" si="4"/>
        <v>-12.7</v>
      </c>
    </row>
    <row r="68" spans="2:28" ht="15.75">
      <c r="B68" s="3" t="s">
        <v>10</v>
      </c>
      <c r="C68" s="27">
        <v>29.547</v>
      </c>
      <c r="D68" s="8"/>
      <c r="E68" s="8">
        <v>0.654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>
        <v>5.1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5.754</v>
      </c>
      <c r="AB68" s="53">
        <f t="shared" si="4"/>
        <v>-23.793</v>
      </c>
    </row>
    <row r="69" spans="2:28" ht="45" customHeight="1">
      <c r="B69" s="15" t="s">
        <v>60</v>
      </c>
      <c r="C69" s="18">
        <f>400-200</f>
        <v>200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AA69:AA80">SUM(D69:Z69)</f>
        <v>0</v>
      </c>
      <c r="AB69" s="53">
        <f t="shared" si="4"/>
        <v>-200</v>
      </c>
    </row>
    <row r="70" spans="1:29" ht="15.75">
      <c r="A70" s="10">
        <v>170703</v>
      </c>
      <c r="B70" s="13" t="s">
        <v>45</v>
      </c>
      <c r="C70" s="18">
        <f>C71</f>
        <v>806.591</v>
      </c>
      <c r="D70" s="18">
        <f aca="true" t="shared" si="19" ref="D70:AA70">D71</f>
        <v>0</v>
      </c>
      <c r="E70" s="18">
        <f t="shared" si="19"/>
        <v>0</v>
      </c>
      <c r="F70" s="18">
        <f t="shared" si="19"/>
        <v>0</v>
      </c>
      <c r="G70" s="18">
        <f t="shared" si="19"/>
        <v>0</v>
      </c>
      <c r="H70" s="18">
        <f t="shared" si="19"/>
        <v>137.632</v>
      </c>
      <c r="I70" s="18">
        <f t="shared" si="19"/>
        <v>123.172</v>
      </c>
      <c r="J70" s="18">
        <f t="shared" si="19"/>
        <v>26.038</v>
      </c>
      <c r="K70" s="18">
        <f t="shared" si="19"/>
        <v>0</v>
      </c>
      <c r="L70" s="18">
        <f t="shared" si="19"/>
        <v>0</v>
      </c>
      <c r="M70" s="18">
        <f t="shared" si="19"/>
        <v>0</v>
      </c>
      <c r="N70" s="18">
        <f t="shared" si="19"/>
        <v>0</v>
      </c>
      <c r="O70" s="18">
        <f t="shared" si="19"/>
        <v>0</v>
      </c>
      <c r="P70" s="18">
        <f t="shared" si="19"/>
        <v>0</v>
      </c>
      <c r="Q70" s="18">
        <f t="shared" si="19"/>
        <v>0</v>
      </c>
      <c r="R70" s="18">
        <f t="shared" si="19"/>
        <v>0</v>
      </c>
      <c r="S70" s="18">
        <f t="shared" si="19"/>
        <v>0</v>
      </c>
      <c r="T70" s="18">
        <f t="shared" si="19"/>
        <v>101.501</v>
      </c>
      <c r="U70" s="18">
        <f t="shared" si="19"/>
        <v>0</v>
      </c>
      <c r="V70" s="18">
        <f t="shared" si="19"/>
        <v>0</v>
      </c>
      <c r="W70" s="18">
        <f t="shared" si="19"/>
        <v>0</v>
      </c>
      <c r="X70" s="18">
        <f t="shared" si="19"/>
        <v>0</v>
      </c>
      <c r="Y70" s="18">
        <f t="shared" si="19"/>
        <v>0</v>
      </c>
      <c r="Z70" s="18">
        <f t="shared" si="19"/>
        <v>0</v>
      </c>
      <c r="AA70" s="18">
        <f t="shared" si="19"/>
        <v>388.34299999999996</v>
      </c>
      <c r="AB70" s="53">
        <f t="shared" si="4"/>
        <v>-418.24800000000005</v>
      </c>
      <c r="AC70" s="35"/>
    </row>
    <row r="71" spans="2:40" s="35" customFormat="1" ht="15.75">
      <c r="B71" s="32" t="s">
        <v>49</v>
      </c>
      <c r="C71" s="27">
        <f>381.691+386.3+43.1-4.5</f>
        <v>806.591</v>
      </c>
      <c r="D71" s="8"/>
      <c r="E71" s="8"/>
      <c r="F71" s="8"/>
      <c r="G71" s="8"/>
      <c r="H71" s="8">
        <v>137.632</v>
      </c>
      <c r="I71" s="8">
        <v>123.172</v>
      </c>
      <c r="J71" s="8">
        <v>26.038</v>
      </c>
      <c r="K71" s="8"/>
      <c r="L71" s="8"/>
      <c r="M71" s="8"/>
      <c r="N71" s="8"/>
      <c r="O71" s="8"/>
      <c r="P71" s="8"/>
      <c r="Q71" s="8"/>
      <c r="R71" s="8"/>
      <c r="S71" s="8"/>
      <c r="T71" s="8">
        <v>101.501</v>
      </c>
      <c r="U71" s="8"/>
      <c r="V71" s="8"/>
      <c r="W71" s="8"/>
      <c r="X71" s="8"/>
      <c r="Y71" s="8"/>
      <c r="Z71" s="8"/>
      <c r="AA71" s="8">
        <f t="shared" si="18"/>
        <v>388.34299999999996</v>
      </c>
      <c r="AB71" s="53">
        <f t="shared" si="4"/>
        <v>-418.24800000000005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8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8"/>
        <v>0</v>
      </c>
      <c r="AB73" s="53">
        <f t="shared" si="4"/>
        <v>-279.678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>
        <v>8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8"/>
        <v>8</v>
      </c>
      <c r="AB74" s="53">
        <f t="shared" si="4"/>
        <v>-8.181999999999999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281.155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8"/>
        <v>0</v>
      </c>
      <c r="AB75" s="53">
        <f t="shared" si="4"/>
        <v>-281.155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100.5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8"/>
        <v>0</v>
      </c>
      <c r="AB76" s="53">
        <f t="shared" si="4"/>
        <v>-100.5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47.942</v>
      </c>
      <c r="D77" s="18"/>
      <c r="E77" s="18"/>
      <c r="F77" s="18"/>
      <c r="G77" s="18"/>
      <c r="H77" s="18"/>
      <c r="I77" s="18">
        <v>47.942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8"/>
        <v>47.942</v>
      </c>
      <c r="AB77" s="53">
        <f t="shared" si="4"/>
        <v>0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 hidden="1">
      <c r="B78" s="13" t="s">
        <v>68</v>
      </c>
      <c r="C78" s="18"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8"/>
        <v>0</v>
      </c>
      <c r="AB78" s="53">
        <f t="shared" si="4"/>
        <v>0</v>
      </c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 hidden="1">
      <c r="B79" s="13" t="s">
        <v>69</v>
      </c>
      <c r="C79" s="18"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8"/>
        <v>0</v>
      </c>
      <c r="AB79" s="53">
        <f t="shared" si="4"/>
        <v>0</v>
      </c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>
        <v>451.403</v>
      </c>
      <c r="E80" s="18">
        <v>19.975</v>
      </c>
      <c r="F80" s="18">
        <v>57.707</v>
      </c>
      <c r="G80" s="18">
        <v>61.185</v>
      </c>
      <c r="H80" s="18">
        <v>723.205</v>
      </c>
      <c r="I80" s="18">
        <v>1332.085</v>
      </c>
      <c r="J80" s="18"/>
      <c r="K80" s="18"/>
      <c r="L80" s="18">
        <v>507.761</v>
      </c>
      <c r="M80" s="18">
        <f>735.893+166.162</f>
        <v>902.0550000000001</v>
      </c>
      <c r="N80" s="18"/>
      <c r="O80" s="18">
        <v>106.979</v>
      </c>
      <c r="P80" s="18">
        <v>32.782</v>
      </c>
      <c r="Q80" s="18">
        <v>88.49</v>
      </c>
      <c r="R80" s="18">
        <v>612.848</v>
      </c>
      <c r="S80" s="18">
        <v>31.24</v>
      </c>
      <c r="T80" s="18">
        <v>-14.211</v>
      </c>
      <c r="U80" s="18"/>
      <c r="V80" s="18"/>
      <c r="W80" s="18"/>
      <c r="X80" s="18"/>
      <c r="Y80" s="18"/>
      <c r="Z80" s="18"/>
      <c r="AA80" s="18">
        <f t="shared" si="18"/>
        <v>4913.504</v>
      </c>
      <c r="AB80" s="53">
        <f t="shared" si="4"/>
        <v>4913.504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40773.55751</v>
      </c>
      <c r="D81" s="26">
        <f aca="true" t="shared" si="20" ref="D81:AA81">SUM(D82:D88)</f>
        <v>457.673</v>
      </c>
      <c r="E81" s="26">
        <f t="shared" si="20"/>
        <v>61.497</v>
      </c>
      <c r="F81" s="26">
        <f t="shared" si="20"/>
        <v>1031.7540000000001</v>
      </c>
      <c r="G81" s="26">
        <f t="shared" si="20"/>
        <v>382.605</v>
      </c>
      <c r="H81" s="26">
        <f t="shared" si="20"/>
        <v>1470.801</v>
      </c>
      <c r="I81" s="26">
        <f t="shared" si="20"/>
        <v>5772.221</v>
      </c>
      <c r="J81" s="26">
        <f t="shared" si="20"/>
        <v>3792.848</v>
      </c>
      <c r="K81" s="26">
        <f t="shared" si="20"/>
        <v>381.216</v>
      </c>
      <c r="L81" s="26">
        <f t="shared" si="20"/>
        <v>2584.683</v>
      </c>
      <c r="M81" s="26">
        <f t="shared" si="20"/>
        <v>1145.1319999999998</v>
      </c>
      <c r="N81" s="26">
        <f t="shared" si="20"/>
        <v>0</v>
      </c>
      <c r="O81" s="26">
        <f t="shared" si="20"/>
        <v>172.313</v>
      </c>
      <c r="P81" s="26">
        <f t="shared" si="20"/>
        <v>900.755</v>
      </c>
      <c r="Q81" s="26">
        <f t="shared" si="20"/>
        <v>425.991</v>
      </c>
      <c r="R81" s="26">
        <f t="shared" si="20"/>
        <v>3795.5659999999993</v>
      </c>
      <c r="S81" s="26">
        <f t="shared" si="20"/>
        <v>4810.969999999999</v>
      </c>
      <c r="T81" s="26">
        <f>SUM(T82:T88)</f>
        <v>2645.091</v>
      </c>
      <c r="U81" s="26">
        <f t="shared" si="20"/>
        <v>-0.526</v>
      </c>
      <c r="V81" s="26">
        <f t="shared" si="20"/>
        <v>0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29830.589999999997</v>
      </c>
      <c r="AB81" s="53">
        <f t="shared" si="4"/>
        <v>-10942.967510000002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26767.78</v>
      </c>
      <c r="D82" s="23">
        <f t="shared" si="21"/>
        <v>6.08</v>
      </c>
      <c r="E82" s="23">
        <f t="shared" si="21"/>
        <v>6.890000000000001</v>
      </c>
      <c r="F82" s="23">
        <f t="shared" si="21"/>
        <v>40.84</v>
      </c>
      <c r="G82" s="23">
        <f t="shared" si="21"/>
        <v>27.569000000000003</v>
      </c>
      <c r="H82" s="23">
        <f t="shared" si="21"/>
        <v>170.229</v>
      </c>
      <c r="I82" s="23">
        <f t="shared" si="21"/>
        <v>4159.506</v>
      </c>
      <c r="J82" s="23">
        <f t="shared" si="21"/>
        <v>3641.3450000000003</v>
      </c>
      <c r="K82" s="23">
        <f t="shared" si="21"/>
        <v>201.32999999999998</v>
      </c>
      <c r="L82" s="23">
        <f t="shared" si="21"/>
        <v>1803.6209999999999</v>
      </c>
      <c r="M82" s="23">
        <f t="shared" si="21"/>
        <v>0</v>
      </c>
      <c r="N82" s="23">
        <f t="shared" si="21"/>
        <v>0</v>
      </c>
      <c r="O82" s="23">
        <f t="shared" si="21"/>
        <v>0</v>
      </c>
      <c r="P82" s="23">
        <f t="shared" si="21"/>
        <v>223.608</v>
      </c>
      <c r="Q82" s="23">
        <f t="shared" si="21"/>
        <v>112.512</v>
      </c>
      <c r="R82" s="23">
        <f t="shared" si="21"/>
        <v>2995.4469999999997</v>
      </c>
      <c r="S82" s="23">
        <f t="shared" si="21"/>
        <v>4556.054</v>
      </c>
      <c r="T82" s="23">
        <f t="shared" si="21"/>
        <v>2412.4</v>
      </c>
      <c r="U82" s="23">
        <f t="shared" si="21"/>
        <v>0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20357.430999999997</v>
      </c>
      <c r="AB82" s="53">
        <f t="shared" si="4"/>
        <v>-6410.349000000002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19.12751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1.794</v>
      </c>
      <c r="H83" s="23">
        <f t="shared" si="22"/>
        <v>0</v>
      </c>
      <c r="I83" s="23">
        <f t="shared" si="22"/>
        <v>0</v>
      </c>
      <c r="J83" s="23">
        <f t="shared" si="22"/>
        <v>3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</v>
      </c>
      <c r="P83" s="23">
        <f t="shared" si="22"/>
        <v>0</v>
      </c>
      <c r="Q83" s="23">
        <f t="shared" si="22"/>
        <v>0</v>
      </c>
      <c r="R83" s="23">
        <f t="shared" si="22"/>
        <v>0</v>
      </c>
      <c r="S83" s="23">
        <f t="shared" si="22"/>
        <v>1.498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6.292</v>
      </c>
      <c r="AB83" s="53">
        <f t="shared" si="4"/>
        <v>-12.835510000000001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726.4609999999999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53.645</v>
      </c>
      <c r="H84" s="23">
        <f t="shared" si="23"/>
        <v>71.343</v>
      </c>
      <c r="I84" s="23">
        <f t="shared" si="23"/>
        <v>13.833</v>
      </c>
      <c r="J84" s="23">
        <f t="shared" si="23"/>
        <v>60.682</v>
      </c>
      <c r="K84" s="23">
        <f t="shared" si="23"/>
        <v>0</v>
      </c>
      <c r="L84" s="23">
        <f t="shared" si="23"/>
        <v>27.851</v>
      </c>
      <c r="M84" s="23">
        <f t="shared" si="23"/>
        <v>0</v>
      </c>
      <c r="N84" s="23">
        <f t="shared" si="23"/>
        <v>0</v>
      </c>
      <c r="O84" s="23">
        <f t="shared" si="23"/>
        <v>29.436</v>
      </c>
      <c r="P84" s="23">
        <f t="shared" si="23"/>
        <v>0</v>
      </c>
      <c r="Q84" s="23">
        <f t="shared" si="23"/>
        <v>0</v>
      </c>
      <c r="R84" s="23">
        <f t="shared" si="23"/>
        <v>10.35</v>
      </c>
      <c r="S84" s="23">
        <f t="shared" si="23"/>
        <v>46.689</v>
      </c>
      <c r="T84" s="23">
        <f t="shared" si="23"/>
        <v>1.165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314.994</v>
      </c>
      <c r="AB84" s="53">
        <f t="shared" si="4"/>
        <v>-411.46699999999987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1143.516</v>
      </c>
      <c r="D85" s="23">
        <f t="shared" si="24"/>
        <v>0</v>
      </c>
      <c r="E85" s="23">
        <f t="shared" si="24"/>
        <v>6.478</v>
      </c>
      <c r="F85" s="23">
        <f t="shared" si="24"/>
        <v>0.146</v>
      </c>
      <c r="G85" s="23">
        <f t="shared" si="24"/>
        <v>5.646000000000001</v>
      </c>
      <c r="H85" s="23">
        <f t="shared" si="24"/>
        <v>1.381</v>
      </c>
      <c r="I85" s="23">
        <f t="shared" si="24"/>
        <v>15.094</v>
      </c>
      <c r="J85" s="23">
        <f t="shared" si="24"/>
        <v>12.366</v>
      </c>
      <c r="K85" s="23">
        <f t="shared" si="24"/>
        <v>0</v>
      </c>
      <c r="L85" s="23">
        <f t="shared" si="24"/>
        <v>25.277</v>
      </c>
      <c r="M85" s="23">
        <f t="shared" si="24"/>
        <v>10.323</v>
      </c>
      <c r="N85" s="23">
        <f t="shared" si="24"/>
        <v>0</v>
      </c>
      <c r="O85" s="23">
        <f t="shared" si="24"/>
        <v>4.26</v>
      </c>
      <c r="P85" s="23">
        <f t="shared" si="24"/>
        <v>5.151</v>
      </c>
      <c r="Q85" s="23">
        <f t="shared" si="24"/>
        <v>6.03</v>
      </c>
      <c r="R85" s="23">
        <f t="shared" si="24"/>
        <v>100.4</v>
      </c>
      <c r="S85" s="23">
        <f t="shared" si="24"/>
        <v>22.971999999999998</v>
      </c>
      <c r="T85" s="23">
        <f t="shared" si="24"/>
        <v>20.651</v>
      </c>
      <c r="U85" s="23">
        <f t="shared" si="24"/>
        <v>-0.127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236.04800000000003</v>
      </c>
      <c r="AB85" s="53">
        <f>AA85-C85</f>
        <v>-907.4680000000001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286.298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0.782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0.782</v>
      </c>
      <c r="AB86" s="53">
        <f>AA86-C86</f>
        <v>-285.516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4242.8949999999995</v>
      </c>
      <c r="D87" s="23">
        <f aca="true" t="shared" si="26" ref="D87:AA87">D30+D51+D61+D65+D31+D68+D77+D78+D79</f>
        <v>0</v>
      </c>
      <c r="E87" s="23">
        <f t="shared" si="26"/>
        <v>19.828</v>
      </c>
      <c r="F87" s="23">
        <f t="shared" si="26"/>
        <v>868.868</v>
      </c>
      <c r="G87" s="23">
        <f t="shared" si="26"/>
        <v>0</v>
      </c>
      <c r="H87" s="23">
        <f t="shared" si="26"/>
        <v>18.414</v>
      </c>
      <c r="I87" s="23">
        <f t="shared" si="26"/>
        <v>48.705</v>
      </c>
      <c r="J87" s="23">
        <f t="shared" si="26"/>
        <v>0</v>
      </c>
      <c r="K87" s="23">
        <f t="shared" si="26"/>
        <v>118.08200000000001</v>
      </c>
      <c r="L87" s="23">
        <f t="shared" si="26"/>
        <v>0.845</v>
      </c>
      <c r="M87" s="23">
        <f t="shared" si="26"/>
        <v>0.604</v>
      </c>
      <c r="N87" s="23">
        <f t="shared" si="26"/>
        <v>0</v>
      </c>
      <c r="O87" s="23">
        <f t="shared" si="26"/>
        <v>0</v>
      </c>
      <c r="P87" s="23">
        <f t="shared" si="26"/>
        <v>567.85</v>
      </c>
      <c r="Q87" s="23">
        <f t="shared" si="26"/>
        <v>71.983</v>
      </c>
      <c r="R87" s="23">
        <f t="shared" si="26"/>
        <v>22.673</v>
      </c>
      <c r="S87" s="23">
        <f t="shared" si="26"/>
        <v>42.116</v>
      </c>
      <c r="T87" s="23">
        <f t="shared" si="26"/>
        <v>0</v>
      </c>
      <c r="U87" s="23">
        <f t="shared" si="26"/>
        <v>0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1779.9679999999998</v>
      </c>
      <c r="AB87" s="53">
        <f>AA87-C87</f>
        <v>-2462.9269999999997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>C22+C28+C32+C33+C40+C44+C48+C56+C62+C71+C75+C76+C80+C64+C74+C72+C34+C69</f>
        <v>7587.4800000000005</v>
      </c>
      <c r="D88" s="23">
        <f aca="true" t="shared" si="27" ref="D88:AA88">D22+D28+D32+D33+D40+D44+D48+D56+D62+D71+D75+D76+D80+D64+D74+D72+D34+D69</f>
        <v>451.593</v>
      </c>
      <c r="E88" s="23">
        <f t="shared" si="27"/>
        <v>28.301000000000002</v>
      </c>
      <c r="F88" s="23">
        <f t="shared" si="27"/>
        <v>121.9</v>
      </c>
      <c r="G88" s="23">
        <f t="shared" si="27"/>
        <v>293.169</v>
      </c>
      <c r="H88" s="23">
        <f t="shared" si="27"/>
        <v>1209.434</v>
      </c>
      <c r="I88" s="23">
        <f t="shared" si="27"/>
        <v>1535.083</v>
      </c>
      <c r="J88" s="23">
        <f t="shared" si="27"/>
        <v>75.455</v>
      </c>
      <c r="K88" s="23">
        <f t="shared" si="27"/>
        <v>61.804</v>
      </c>
      <c r="L88" s="23">
        <f t="shared" si="27"/>
        <v>727.089</v>
      </c>
      <c r="M88" s="23">
        <f t="shared" si="27"/>
        <v>1134.205</v>
      </c>
      <c r="N88" s="23">
        <f t="shared" si="27"/>
        <v>0</v>
      </c>
      <c r="O88" s="23">
        <f t="shared" si="27"/>
        <v>138.617</v>
      </c>
      <c r="P88" s="23">
        <f t="shared" si="27"/>
        <v>104.146</v>
      </c>
      <c r="Q88" s="23">
        <f t="shared" si="27"/>
        <v>235.466</v>
      </c>
      <c r="R88" s="23">
        <f t="shared" si="27"/>
        <v>666.6959999999999</v>
      </c>
      <c r="S88" s="23">
        <f t="shared" si="27"/>
        <v>141.64100000000002</v>
      </c>
      <c r="T88" s="23">
        <f t="shared" si="27"/>
        <v>210.875</v>
      </c>
      <c r="U88" s="23">
        <f t="shared" si="27"/>
        <v>-0.399</v>
      </c>
      <c r="V88" s="23">
        <f t="shared" si="27"/>
        <v>0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7135.075</v>
      </c>
      <c r="AB88" s="53">
        <f>AA88-C88</f>
        <v>-452.40500000000065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2019-05-03T06:31:33Z</cp:lastPrinted>
  <dcterms:created xsi:type="dcterms:W3CDTF">2002-11-05T08:53:00Z</dcterms:created>
  <dcterms:modified xsi:type="dcterms:W3CDTF">2019-07-01T10:05:05Z</dcterms:modified>
  <cp:category/>
  <cp:version/>
  <cp:contentType/>
  <cp:contentStatus/>
</cp:coreProperties>
</file>