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8" windowWidth="7548" windowHeight="3708" tabRatio="661" firstSheet="5" activeTab="5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травень 19" sheetId="5" r:id="rId5"/>
    <sheet name="червень 19" sheetId="6" r:id="rId6"/>
    <sheet name="Лист2" sheetId="7" r:id="rId7"/>
  </sheets>
  <definedNames>
    <definedName name="_xlnm.Print_Area" localSheetId="3">'квітень 19'!$B$1:$AN$173</definedName>
    <definedName name="_xlnm.Print_Area" localSheetId="4">'травень 19'!$B$1:$AG$173</definedName>
    <definedName name="_xlnm.Print_Area" localSheetId="5">'червень 19'!$B$1:$AG$173</definedName>
  </definedNames>
  <calcPr fullCalcOnLoad="1"/>
</workbook>
</file>

<file path=xl/sharedStrings.xml><?xml version="1.0" encoding="utf-8"?>
<sst xmlns="http://schemas.openxmlformats.org/spreadsheetml/2006/main" count="605" uniqueCount="72">
  <si>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</si>
  <si>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</si>
  <si>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</si>
  <si>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</si>
  <si>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</si>
  <si>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</si>
  <si>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</si>
  <si>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</si>
  <si>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</si>
  <si>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</si>
  <si>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</si>
  <si>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</si>
  <si>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</si>
  <si>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</si>
  <si>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</si>
  <si>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</si>
  <si>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</si>
  <si>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</si>
  <si>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</si>
  <si>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</si>
  <si>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</si>
  <si>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</si>
  <si>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</si>
  <si>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</si>
  <si>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</si>
  <si>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</si>
  <si>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</si>
  <si>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</si>
  <si>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</si>
  <si>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</si>
  <si>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</si>
  <si>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</si>
  <si>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</si>
  <si>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</si>
  <si>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</si>
  <si>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</si>
  <si>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</si>
  <si>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</si>
  <si>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</si>
  <si>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</si>
  <si>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</si>
  <si>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</si>
  <si>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</si>
  <si>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</si>
  <si>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</si>
  <si>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</si>
  <si>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</si>
  <si>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</si>
  <si>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</si>
  <si>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</si>
  <si>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</si>
  <si>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</si>
  <si>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</si>
  <si>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</si>
  <si>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</si>
  <si>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</si>
  <si>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</si>
  <si>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</si>
  <si>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</si>
  <si>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</si>
  <si>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</si>
  <si>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</si>
  <si>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</si>
  <si>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</si>
  <si>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</si>
  <si>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</si>
  <si>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</si>
  <si>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</si>
  <si>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</si>
  <si>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</si>
  <si>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травні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</si>
  <si>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червні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</si>
</sst>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36" borderId="10" xfId="0" applyFont="1" applyFill="1" applyBorder="1" applyAlignment="1">
      <alignment/>
    </xf>
    <xf numFmtId="188" fontId="5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188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top" wrapText="1" indent="1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88" fontId="1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33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37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/>
    </xf>
    <xf numFmtId="188" fontId="3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33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7"/>
          <c:y val="0.18875"/>
          <c:w val="0.35225"/>
          <c:h val="0.46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25"/>
          <c:y val="0.886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45"/>
          <c:y val="0.1805"/>
          <c:w val="0.33675"/>
          <c:h val="0.3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703"/>
          <c:w val="0.86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265"/>
          <c:w val="0.68275"/>
          <c:h val="0.6367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84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55"/>
          <c:y val="0.918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65"/>
          <c:y val="0.25475"/>
          <c:w val="0.28925"/>
          <c:h val="0.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0395"/>
          <c:w val="0.219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545"/>
          <c:y val="0.18525"/>
          <c:w val="0.3925"/>
          <c:h val="0.5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597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05"/>
          <c:y val="0.21575"/>
          <c:w val="0.43"/>
          <c:h val="0.4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5"/>
          <c:w val="0.86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5975"/>
          <c:w val="0.646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443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5"/>
          <c:y val="0.93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695"/>
          <c:y val="0.21875"/>
          <c:w val="0.3155"/>
          <c:h val="0.28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"/>
          <c:w val="0.219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025"/>
          <c:y val="0.26475"/>
          <c:w val="0.381"/>
          <c:h val="0.4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19'!$B$82:$B$88</c:f>
              <c:strCache/>
            </c:strRef>
          </c:cat>
          <c:val>
            <c:numRef>
              <c:f>'травень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025"/>
          <c:y val="0.85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425"/>
          <c:y val="0.20375"/>
          <c:w val="0.40875"/>
          <c:h val="0.4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19'!$AD$20:$AD$27</c:f>
              <c:strCache/>
            </c:strRef>
          </c:cat>
          <c:val>
            <c:numRef>
              <c:f>'травень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235"/>
          <c:w val="0.867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125"/>
          <c:w val="0.6092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'травень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'травень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'травень 19'!$D$5:$X$5</c:f>
              <c:numCache/>
            </c:numRef>
          </c:cat>
          <c:val>
            <c:numRef>
              <c:f>'травень 19'!$D$8:$X$8</c:f>
              <c:numCache/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8159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5"/>
          <c:y val="0.9267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1075"/>
          <c:y val="0.16725"/>
          <c:w val="0.29625"/>
          <c:h val="0.3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29"/>
          <c:w val="0.868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975"/>
          <c:y val="0.2165"/>
          <c:w val="0.30025"/>
          <c:h val="0.2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19'!$B$9:$B$16</c:f>
              <c:strCache/>
            </c:strRef>
          </c:cat>
          <c:val>
            <c:numRef>
              <c:f>'травень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06975"/>
          <c:w val="0.218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"/>
          <c:y val="-0.0047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7025"/>
          <c:y val="0.26475"/>
          <c:w val="0.381"/>
          <c:h val="0.47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19'!$B$82:$B$88</c:f>
              <c:strCache/>
            </c:strRef>
          </c:cat>
          <c:val>
            <c:numRef>
              <c:f>'червень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025"/>
          <c:y val="0.85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3425"/>
          <c:y val="0.20375"/>
          <c:w val="0.409"/>
          <c:h val="0.4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'червень 19'!$AD$20:$AD$27</c:f>
              <c:strCache/>
            </c:strRef>
          </c:cat>
          <c:val>
            <c:numRef>
              <c:f>'червень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235"/>
          <c:w val="0.8672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75"/>
          <c:y val="0.125"/>
          <c:w val="0.573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'червень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19'!$D$7:$X$7</c:f>
              <c:numCache/>
            </c:numRef>
          </c:val>
          <c:smooth val="0"/>
        </c:ser>
        <c:ser>
          <c:idx val="1"/>
          <c:order val="1"/>
          <c:tx>
            <c:strRef>
              <c:f>'червень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'червень 19'!$D$5:$X$5</c:f>
              <c:numCache/>
            </c:numRef>
          </c:cat>
          <c:val>
            <c:numRef>
              <c:f>'червень 19'!$D$8:$X$8</c:f>
              <c:numCache/>
            </c:numRef>
          </c:val>
          <c:smooth val="0"/>
        </c:ser>
        <c:marker val="1"/>
        <c:axId val="3898239"/>
        <c:axId val="35084152"/>
      </c:lineChart>
      <c:catAx>
        <c:axId val="3898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89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475"/>
          <c:y val="0.9267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4"/>
          <c:y val="-0.021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795"/>
          <c:y val="0.2165"/>
          <c:w val="0.30025"/>
          <c:h val="0.2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'червень 19'!$B$9:$B$16</c:f>
              <c:strCache/>
            </c:strRef>
          </c:cat>
          <c:val>
            <c:numRef>
              <c:f>'червень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06975"/>
          <c:w val="0.21875"/>
          <c:h val="0.8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25"/>
          <c:y val="0.0975"/>
          <c:w val="0.54575"/>
          <c:h val="0.619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8965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5"/>
          <c:y val="0.94075"/>
          <c:w val="0.793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975"/>
          <c:y val="0.1295"/>
          <c:w val="0.37325"/>
          <c:h val="0.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02625"/>
          <c:w val="0.22"/>
          <c:h val="0.8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825"/>
          <c:y val="0.18525"/>
          <c:w val="0.328"/>
          <c:h val="0.4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"/>
          <c:y val="0.867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205"/>
          <c:y val="0.274"/>
          <c:w val="0.3425"/>
          <c:h val="0.38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1525"/>
          <c:w val="0.86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5"/>
          <c:y val="0.14975"/>
          <c:w val="0.708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149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94175"/>
          <c:w val="0.794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65"/>
          <c:y val="0.2425"/>
          <c:w val="0.3805"/>
          <c:h val="0.34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03025"/>
          <c:w val="0.2195"/>
          <c:h val="0.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2125"/>
          <c:y val="0.17925"/>
          <c:w val="0.33275"/>
          <c:h val="0.4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25"/>
          <c:y val="0.8705"/>
          <c:w val="0.8437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14500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123825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563600" y="17164050"/>
        <a:ext cx="11391900" cy="5295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133350</xdr:rowOff>
    </xdr:to>
    <xdr:graphicFrame>
      <xdr:nvGraphicFramePr>
        <xdr:cNvPr id="3" name="Диаграмма 10"/>
        <xdr:cNvGraphicFramePr/>
      </xdr:nvGraphicFramePr>
      <xdr:xfrm>
        <a:off x="647700" y="23393400"/>
        <a:ext cx="163925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419100</xdr:colOff>
      <xdr:row>122</xdr:row>
      <xdr:rowOff>104775</xdr:rowOff>
    </xdr:from>
    <xdr:to>
      <xdr:col>39</xdr:col>
      <xdr:colOff>180975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306925" y="23393400"/>
        <a:ext cx="118872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958340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88</xdr:row>
      <xdr:rowOff>114300</xdr:rowOff>
    </xdr:from>
    <xdr:to>
      <xdr:col>33</xdr:col>
      <xdr:colOff>266700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535025" y="19592925"/>
        <a:ext cx="107442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28575</xdr:rowOff>
    </xdr:from>
    <xdr:to>
      <xdr:col>17</xdr:col>
      <xdr:colOff>476250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5917525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590550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535025" y="25917525"/>
        <a:ext cx="107823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116800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89</xdr:row>
      <xdr:rowOff>95250</xdr:rowOff>
    </xdr:from>
    <xdr:to>
      <xdr:col>33</xdr:col>
      <xdr:colOff>266700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535025" y="20316825"/>
        <a:ext cx="1074420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28575</xdr:rowOff>
    </xdr:from>
    <xdr:to>
      <xdr:col>17</xdr:col>
      <xdr:colOff>476250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527125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28575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630275" y="26517600"/>
        <a:ext cx="107727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726525"/>
        <a:ext cx="12620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590550</xdr:colOff>
      <xdr:row>91</xdr:row>
      <xdr:rowOff>114300</xdr:rowOff>
    </xdr:from>
    <xdr:to>
      <xdr:col>33</xdr:col>
      <xdr:colOff>266700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535025" y="21736050"/>
        <a:ext cx="107442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28575</xdr:rowOff>
    </xdr:from>
    <xdr:to>
      <xdr:col>17</xdr:col>
      <xdr:colOff>476250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8060650"/>
        <a:ext cx="126682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28575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630275" y="28051125"/>
        <a:ext cx="107727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38100" y="20735925"/>
        <a:ext cx="119824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333375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239625" y="20735925"/>
        <a:ext cx="11382375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6708100"/>
        <a:ext cx="1202055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9525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163425" y="26736675"/>
        <a:ext cx="114204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91</xdr:row>
      <xdr:rowOff>19050</xdr:rowOff>
    </xdr:from>
    <xdr:to>
      <xdr:col>16</xdr:col>
      <xdr:colOff>390525</xdr:colOff>
      <xdr:row>123</xdr:row>
      <xdr:rowOff>152400</xdr:rowOff>
    </xdr:to>
    <xdr:graphicFrame>
      <xdr:nvGraphicFramePr>
        <xdr:cNvPr id="1" name="Диаграмма 1"/>
        <xdr:cNvGraphicFramePr/>
      </xdr:nvGraphicFramePr>
      <xdr:xfrm>
        <a:off x="38100" y="20602575"/>
        <a:ext cx="119824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609600</xdr:colOff>
      <xdr:row>91</xdr:row>
      <xdr:rowOff>19050</xdr:rowOff>
    </xdr:from>
    <xdr:to>
      <xdr:col>32</xdr:col>
      <xdr:colOff>333375</xdr:colOff>
      <xdr:row>124</xdr:row>
      <xdr:rowOff>9525</xdr:rowOff>
    </xdr:to>
    <xdr:graphicFrame>
      <xdr:nvGraphicFramePr>
        <xdr:cNvPr id="2" name="Диаграмма 4"/>
        <xdr:cNvGraphicFramePr/>
      </xdr:nvGraphicFramePr>
      <xdr:xfrm>
        <a:off x="12239625" y="20602575"/>
        <a:ext cx="11382375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126</xdr:row>
      <xdr:rowOff>152400</xdr:rowOff>
    </xdr:from>
    <xdr:to>
      <xdr:col>16</xdr:col>
      <xdr:colOff>390525</xdr:colOff>
      <xdr:row>160</xdr:row>
      <xdr:rowOff>85725</xdr:rowOff>
    </xdr:to>
    <xdr:graphicFrame>
      <xdr:nvGraphicFramePr>
        <xdr:cNvPr id="3" name="Диаграмма 10"/>
        <xdr:cNvGraphicFramePr/>
      </xdr:nvGraphicFramePr>
      <xdr:xfrm>
        <a:off x="0" y="26574750"/>
        <a:ext cx="1202055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533400</xdr:colOff>
      <xdr:row>127</xdr:row>
      <xdr:rowOff>9525</xdr:rowOff>
    </xdr:from>
    <xdr:to>
      <xdr:col>32</xdr:col>
      <xdr:colOff>295275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2163425" y="26603325"/>
        <a:ext cx="114204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2" ySplit="2748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4" width="8.625" style="4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65" customWidth="1"/>
    <col min="31" max="31" width="14.50390625" style="65" customWidth="1"/>
    <col min="32" max="32" width="9.50390625" style="57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7.7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7.7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2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7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1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5.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2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2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3" width="8.625" style="4" customWidth="1"/>
    <col min="24" max="24" width="8.625" style="4" hidden="1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71" customWidth="1"/>
    <col min="31" max="31" width="14.50390625" style="71" customWidth="1"/>
    <col min="32" max="32" width="9.50390625" style="71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7.7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2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7.7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5.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2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8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3" width="8.625" style="4" customWidth="1"/>
    <col min="24" max="24" width="8.625" style="4" hidden="1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7.7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2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7.7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5.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2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view="pageBreakPreview" zoomScale="85" zoomScaleNormal="70" zoomScaleSheetLayoutView="85" workbookViewId="0" topLeftCell="B1">
      <pane xSplit="4740" ySplit="2568" topLeftCell="G1" activePane="bottomRight" state="split"/>
      <selection pane="topLeft" activeCell="K25" sqref="K25"/>
      <selection pane="topRight" activeCell="U5" sqref="U5"/>
      <selection pane="bottomLeft" activeCell="B138" sqref="B138"/>
      <selection pane="bottomRight" activeCell="W17" sqref="W17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23" width="8.625" style="4" customWidth="1"/>
    <col min="24" max="24" width="8.625" style="4" hidden="1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24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">
      <c r="B8" s="38" t="s">
        <v>26</v>
      </c>
      <c r="C8" s="54">
        <f aca="true" t="shared" si="0" ref="C8:C16">SUM(D8:Z8)</f>
        <v>22862.73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1016.63</v>
      </c>
      <c r="O8" s="37">
        <f t="shared" si="1"/>
        <v>403.00000000000006</v>
      </c>
      <c r="P8" s="37">
        <f t="shared" si="1"/>
        <v>574.6</v>
      </c>
      <c r="Q8" s="37">
        <f t="shared" si="1"/>
        <v>845</v>
      </c>
      <c r="R8" s="37">
        <f t="shared" si="1"/>
        <v>1500.1000000000001</v>
      </c>
      <c r="S8" s="37">
        <f>SUM(S9:S16)</f>
        <v>1343.1999999999998</v>
      </c>
      <c r="T8" s="37">
        <f>SUM(T9:T16)</f>
        <v>1017.8000000000001</v>
      </c>
      <c r="U8" s="37">
        <f t="shared" si="1"/>
        <v>2890.5</v>
      </c>
      <c r="V8" s="37">
        <f t="shared" si="1"/>
        <v>1790.3</v>
      </c>
      <c r="W8" s="37">
        <f t="shared" si="1"/>
        <v>1071.4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">
      <c r="B9" s="39" t="s">
        <v>27</v>
      </c>
      <c r="C9" s="47">
        <f t="shared" si="0"/>
        <v>10659.599999999999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>
        <v>370.2</v>
      </c>
      <c r="O9" s="8">
        <v>120.2</v>
      </c>
      <c r="P9" s="8">
        <v>69</v>
      </c>
      <c r="Q9" s="8">
        <v>205.5</v>
      </c>
      <c r="R9" s="43">
        <v>1089.4</v>
      </c>
      <c r="S9" s="43">
        <v>844.6</v>
      </c>
      <c r="T9" s="8">
        <v>368.9</v>
      </c>
      <c r="U9" s="43">
        <v>441.8</v>
      </c>
      <c r="V9" s="8">
        <v>1016</v>
      </c>
      <c r="W9" s="8">
        <v>467.6</v>
      </c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3217.2999999999997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>
        <v>60.2</v>
      </c>
      <c r="O11" s="8">
        <v>29.1</v>
      </c>
      <c r="P11" s="8">
        <v>31.4</v>
      </c>
      <c r="Q11" s="8">
        <v>33.7</v>
      </c>
      <c r="R11" s="43">
        <v>34.1</v>
      </c>
      <c r="S11" s="43">
        <v>157.9</v>
      </c>
      <c r="T11" s="8">
        <v>33.5</v>
      </c>
      <c r="U11" s="43">
        <v>93</v>
      </c>
      <c r="V11" s="8">
        <v>166.1</v>
      </c>
      <c r="W11" s="8">
        <v>79.5</v>
      </c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3423.1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>
        <v>81.7</v>
      </c>
      <c r="O12" s="8">
        <v>31.9</v>
      </c>
      <c r="P12" s="8">
        <v>146.2</v>
      </c>
      <c r="Q12" s="8">
        <v>379.5</v>
      </c>
      <c r="R12" s="43">
        <v>67.7</v>
      </c>
      <c r="S12" s="43">
        <v>22.2</v>
      </c>
      <c r="T12" s="8">
        <v>111</v>
      </c>
      <c r="U12" s="43">
        <v>1660.3</v>
      </c>
      <c r="V12" s="8">
        <v>204.1</v>
      </c>
      <c r="W12" s="8">
        <v>211.1</v>
      </c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2728.9999999999995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>
        <v>71.3</v>
      </c>
      <c r="O13" s="8">
        <v>34.2</v>
      </c>
      <c r="P13" s="8">
        <v>120</v>
      </c>
      <c r="Q13" s="8">
        <v>48.5</v>
      </c>
      <c r="R13" s="43">
        <v>189.5</v>
      </c>
      <c r="S13" s="43">
        <v>132.6</v>
      </c>
      <c r="T13" s="8">
        <v>457.6</v>
      </c>
      <c r="U13" s="8">
        <v>593.7</v>
      </c>
      <c r="V13" s="8">
        <v>284.2</v>
      </c>
      <c r="W13" s="8">
        <v>240.9</v>
      </c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2226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>
        <v>335.1</v>
      </c>
      <c r="O14" s="8">
        <v>155.8</v>
      </c>
      <c r="P14" s="8">
        <v>187.8</v>
      </c>
      <c r="Q14" s="8">
        <v>143.8</v>
      </c>
      <c r="R14" s="43">
        <v>98.5</v>
      </c>
      <c r="S14" s="43">
        <v>135.8</v>
      </c>
      <c r="T14" s="8">
        <v>33.1</v>
      </c>
      <c r="U14" s="43">
        <v>66.7</v>
      </c>
      <c r="V14" s="8">
        <v>50</v>
      </c>
      <c r="W14" s="8">
        <v>46.3</v>
      </c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205.00000000000003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>
        <v>10.9</v>
      </c>
      <c r="O15" s="8">
        <v>12.6</v>
      </c>
      <c r="P15" s="8">
        <v>10.3</v>
      </c>
      <c r="Q15" s="8">
        <v>12.5</v>
      </c>
      <c r="R15" s="43">
        <v>4.7</v>
      </c>
      <c r="S15" s="43">
        <v>15.5</v>
      </c>
      <c r="T15" s="8">
        <v>6.1</v>
      </c>
      <c r="U15" s="43">
        <v>11.3</v>
      </c>
      <c r="V15" s="8">
        <v>15.9</v>
      </c>
      <c r="W15" s="8">
        <v>9.9</v>
      </c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402.7300000000001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>
        <v>87.23</v>
      </c>
      <c r="O16" s="8">
        <v>19.2</v>
      </c>
      <c r="P16" s="8">
        <v>9.9</v>
      </c>
      <c r="Q16" s="8">
        <v>21.5</v>
      </c>
      <c r="R16" s="43">
        <v>16.2</v>
      </c>
      <c r="S16" s="43">
        <v>34.6</v>
      </c>
      <c r="T16" s="8">
        <v>7.6</v>
      </c>
      <c r="U16" s="43">
        <v>23.7</v>
      </c>
      <c r="V16" s="8">
        <v>54</v>
      </c>
      <c r="W16" s="8">
        <v>16.1</v>
      </c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26500.23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1016.63</v>
      </c>
      <c r="O17" s="22">
        <f t="shared" si="2"/>
        <v>403.00000000000006</v>
      </c>
      <c r="P17" s="22">
        <f t="shared" si="2"/>
        <v>574.6</v>
      </c>
      <c r="Q17" s="22">
        <f t="shared" si="2"/>
        <v>845</v>
      </c>
      <c r="R17" s="22">
        <f t="shared" si="2"/>
        <v>1500.1000000000001</v>
      </c>
      <c r="S17" s="22">
        <f t="shared" si="2"/>
        <v>1343.1999999999998</v>
      </c>
      <c r="T17" s="22">
        <f>SUM(T6:T8)</f>
        <v>1017.8000000000001</v>
      </c>
      <c r="U17" s="22">
        <f t="shared" si="2"/>
        <v>2890.5</v>
      </c>
      <c r="V17" s="22">
        <f t="shared" si="2"/>
        <v>1790.3</v>
      </c>
      <c r="W17" s="22">
        <f t="shared" si="2"/>
        <v>1071.4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474.37199999999996</v>
      </c>
      <c r="P18" s="24">
        <f t="shared" si="3"/>
        <v>725.841</v>
      </c>
      <c r="Q18" s="24">
        <f t="shared" si="3"/>
        <v>859.31</v>
      </c>
      <c r="R18" s="24">
        <f t="shared" si="3"/>
        <v>392.6600000000001</v>
      </c>
      <c r="S18" s="24">
        <f t="shared" si="3"/>
        <v>959.634</v>
      </c>
      <c r="T18" s="24">
        <f t="shared" si="3"/>
        <v>6600.660000000002</v>
      </c>
      <c r="U18" s="24">
        <f t="shared" si="3"/>
        <v>2794.0899999999997</v>
      </c>
      <c r="V18" s="24">
        <f t="shared" si="3"/>
        <v>-12.836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23452.701999999997</v>
      </c>
      <c r="AB18" s="53">
        <f aca="true" t="shared" si="4" ref="AB18:AB84">AA18-C18</f>
        <v>-7944.622000000003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39.689</v>
      </c>
      <c r="P19" s="18">
        <f t="shared" si="5"/>
        <v>17.954</v>
      </c>
      <c r="Q19" s="18">
        <f t="shared" si="5"/>
        <v>29.256999999999998</v>
      </c>
      <c r="R19" s="18">
        <f t="shared" si="5"/>
        <v>13.091000000000001</v>
      </c>
      <c r="S19" s="18">
        <f t="shared" si="5"/>
        <v>0</v>
      </c>
      <c r="T19" s="18">
        <f>SUM(T20:T22)</f>
        <v>318.41600000000005</v>
      </c>
      <c r="U19" s="18">
        <f t="shared" si="5"/>
        <v>1216.2959999999998</v>
      </c>
      <c r="V19" s="18">
        <f t="shared" si="5"/>
        <v>-1.589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3173.383</v>
      </c>
      <c r="AB19" s="53">
        <f t="shared" si="4"/>
        <v>-851.0919999999996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>
        <v>284.634</v>
      </c>
      <c r="U20" s="7">
        <v>1053.999</v>
      </c>
      <c r="V20" s="8"/>
      <c r="W20" s="8"/>
      <c r="X20" s="8"/>
      <c r="Y20" s="7"/>
      <c r="Z20" s="7"/>
      <c r="AA20" s="7">
        <f>SUM(D20:Z20)</f>
        <v>2629.8019999999997</v>
      </c>
      <c r="AB20" s="87">
        <f t="shared" si="4"/>
        <v>-356.19500000000016</v>
      </c>
      <c r="AC20" s="85"/>
      <c r="AD20" s="84" t="s">
        <v>48</v>
      </c>
      <c r="AE20" s="86">
        <f>AA19</f>
        <v>3173.383</v>
      </c>
      <c r="AF20" s="83"/>
      <c r="AG20" s="83"/>
    </row>
    <row r="21" spans="2:33" ht="1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>
        <v>4.105</v>
      </c>
      <c r="Q21" s="7">
        <v>18.868</v>
      </c>
      <c r="R21" s="7">
        <v>2.656</v>
      </c>
      <c r="S21" s="7"/>
      <c r="T21" s="7">
        <v>11.997</v>
      </c>
      <c r="U21" s="7">
        <v>1.186</v>
      </c>
      <c r="V21" s="8"/>
      <c r="W21" s="8"/>
      <c r="X21" s="8"/>
      <c r="Y21" s="7"/>
      <c r="Z21" s="7"/>
      <c r="AA21" s="7">
        <f>SUM(D21:Z21)</f>
        <v>122.369</v>
      </c>
      <c r="AB21" s="87">
        <f t="shared" si="4"/>
        <v>-281.717</v>
      </c>
      <c r="AC21" s="85"/>
      <c r="AD21" s="84" t="s">
        <v>15</v>
      </c>
      <c r="AE21" s="86">
        <f>AA23</f>
        <v>10661.850999999999</v>
      </c>
      <c r="AF21" s="83"/>
      <c r="AG21" s="83"/>
    </row>
    <row r="22" spans="2:33" ht="1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>
        <v>39.689</v>
      </c>
      <c r="P22" s="7">
        <v>13.849</v>
      </c>
      <c r="Q22" s="7">
        <v>10.389</v>
      </c>
      <c r="R22" s="7">
        <v>10.435</v>
      </c>
      <c r="S22" s="7"/>
      <c r="T22" s="7">
        <v>21.785</v>
      </c>
      <c r="U22" s="7">
        <v>161.111</v>
      </c>
      <c r="V22" s="7">
        <v>-1.589</v>
      </c>
      <c r="W22" s="7"/>
      <c r="X22" s="7"/>
      <c r="Y22" s="7"/>
      <c r="Z22" s="7"/>
      <c r="AA22" s="7">
        <f>SUM(D22:Z22)</f>
        <v>421.21200000000005</v>
      </c>
      <c r="AB22" s="87">
        <f t="shared" si="4"/>
        <v>-213.18</v>
      </c>
      <c r="AC22" s="85"/>
      <c r="AD22" s="84" t="s">
        <v>52</v>
      </c>
      <c r="AE22" s="86">
        <f>$AA$29+$AA$31</f>
        <v>345.916</v>
      </c>
      <c r="AF22" s="83"/>
      <c r="AG22" s="83"/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371.791</v>
      </c>
      <c r="Q23" s="18">
        <f t="shared" si="6"/>
        <v>102.52900000000001</v>
      </c>
      <c r="R23" s="18">
        <f t="shared" si="6"/>
        <v>40.142</v>
      </c>
      <c r="S23" s="18">
        <f t="shared" si="6"/>
        <v>0</v>
      </c>
      <c r="T23" s="18">
        <f>SUM(T24:T28)</f>
        <v>5207.509999999999</v>
      </c>
      <c r="U23" s="18">
        <f>SUM(U24:U28)</f>
        <v>199.149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10661.850999999999</v>
      </c>
      <c r="AB23" s="87">
        <f t="shared" si="4"/>
        <v>-4711.243000000002</v>
      </c>
      <c r="AC23" s="82"/>
      <c r="AD23" s="84" t="s">
        <v>16</v>
      </c>
      <c r="AE23" s="86">
        <f>$AA$32+$AA$33+$AA$35+$AA$41+$AA$45+$AA$34</f>
        <v>1302.183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>
        <f>2601.696+2073.066</f>
        <v>4674.762</v>
      </c>
      <c r="U24" s="7"/>
      <c r="V24" s="8"/>
      <c r="W24" s="8"/>
      <c r="X24" s="8"/>
      <c r="Y24" s="7"/>
      <c r="Z24" s="7"/>
      <c r="AA24" s="7">
        <f>SUM(D24:Z24)</f>
        <v>8053.155999999999</v>
      </c>
      <c r="AB24" s="87">
        <f t="shared" si="4"/>
        <v>-3100.4900000000016</v>
      </c>
      <c r="AC24" s="85"/>
      <c r="AD24" s="84" t="s">
        <v>17</v>
      </c>
      <c r="AE24" s="86">
        <f>$AA$63+$AA$66+AA73</f>
        <v>2103.893</v>
      </c>
      <c r="AF24" s="83"/>
      <c r="AG24" s="83"/>
    </row>
    <row r="25" spans="2:33" ht="1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>
        <v>0.854</v>
      </c>
      <c r="Q25" s="7">
        <v>1.499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3.5820000000000003</v>
      </c>
      <c r="AB25" s="87">
        <f t="shared" si="4"/>
        <v>-8.719999999999999</v>
      </c>
      <c r="AC25" s="85"/>
      <c r="AD25" s="84" t="s">
        <v>18</v>
      </c>
      <c r="AE25" s="86">
        <f>$AA$52</f>
        <v>686.818</v>
      </c>
      <c r="AF25" s="83"/>
      <c r="AG25" s="83"/>
    </row>
    <row r="26" spans="2:33" ht="1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>
        <v>21.526</v>
      </c>
      <c r="Q26" s="7">
        <v>30.032</v>
      </c>
      <c r="R26" s="25">
        <v>8.794</v>
      </c>
      <c r="S26" s="7"/>
      <c r="T26" s="7">
        <v>150.326</v>
      </c>
      <c r="U26" s="7"/>
      <c r="V26" s="8"/>
      <c r="W26" s="8"/>
      <c r="X26" s="8"/>
      <c r="Y26" s="7"/>
      <c r="Z26" s="7"/>
      <c r="AA26" s="7">
        <f>SUM(D26:Z26)</f>
        <v>558.938</v>
      </c>
      <c r="AB26" s="87">
        <f t="shared" si="4"/>
        <v>-242.36400000000003</v>
      </c>
      <c r="AC26" s="85"/>
      <c r="AD26" s="84" t="s">
        <v>19</v>
      </c>
      <c r="AE26" s="86">
        <f>$AA$57</f>
        <v>451.067</v>
      </c>
      <c r="AF26" s="83"/>
      <c r="AG26" s="83"/>
    </row>
    <row r="27" spans="2:33" ht="1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>
        <v>344.71</v>
      </c>
      <c r="Q27" s="7">
        <v>60.774</v>
      </c>
      <c r="R27" s="25">
        <v>25.023</v>
      </c>
      <c r="S27" s="7"/>
      <c r="T27" s="7">
        <v>252.355</v>
      </c>
      <c r="U27" s="7">
        <v>0.086</v>
      </c>
      <c r="V27" s="8"/>
      <c r="W27" s="8"/>
      <c r="X27" s="8"/>
      <c r="Y27" s="7"/>
      <c r="Z27" s="7"/>
      <c r="AA27" s="7">
        <f>SUM(D27:Z27)</f>
        <v>1523.339</v>
      </c>
      <c r="AB27" s="87">
        <f t="shared" si="4"/>
        <v>-684.6790000000001</v>
      </c>
      <c r="AC27" s="85"/>
      <c r="AD27" s="84" t="s">
        <v>20</v>
      </c>
      <c r="AE27" s="86">
        <f>$AA$49+$AA$70+$AA$75+$AA$76+$AA$80+$AA$72+$AA$74+$AA$77+$AA$78+$AA$79</f>
        <v>4727.591</v>
      </c>
      <c r="AF27" s="83"/>
      <c r="AG27" s="83"/>
    </row>
    <row r="28" spans="2:33" ht="1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>
        <v>4.701</v>
      </c>
      <c r="Q28" s="7">
        <v>10.224</v>
      </c>
      <c r="R28" s="7">
        <v>6.325</v>
      </c>
      <c r="S28" s="7"/>
      <c r="T28" s="7">
        <v>130.067</v>
      </c>
      <c r="U28" s="7">
        <v>199.063</v>
      </c>
      <c r="V28" s="7"/>
      <c r="W28" s="7"/>
      <c r="X28" s="7"/>
      <c r="Y28" s="7"/>
      <c r="Z28" s="7"/>
      <c r="AA28" s="7">
        <f>SUM(D28:Z28)</f>
        <v>522.836</v>
      </c>
      <c r="AB28" s="87">
        <f t="shared" si="4"/>
        <v>-674.99</v>
      </c>
      <c r="AC28" s="85"/>
      <c r="AD28" s="83"/>
      <c r="AE28" s="88"/>
      <c r="AF28" s="83"/>
      <c r="AG28" s="83"/>
    </row>
    <row r="29" spans="2:33" ht="27.7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98.274</v>
      </c>
      <c r="Q29" s="18">
        <f t="shared" si="7"/>
        <v>0</v>
      </c>
      <c r="R29" s="18">
        <f t="shared" si="7"/>
        <v>0</v>
      </c>
      <c r="S29" s="18">
        <f t="shared" si="7"/>
        <v>100.661</v>
      </c>
      <c r="T29" s="18">
        <f t="shared" si="7"/>
        <v>86.779</v>
      </c>
      <c r="U29" s="18">
        <f t="shared" si="7"/>
        <v>3.695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345.916</v>
      </c>
      <c r="AB29" s="87">
        <f t="shared" si="4"/>
        <v>-885.192</v>
      </c>
      <c r="AC29" s="85"/>
      <c r="AD29" s="83"/>
      <c r="AE29" s="88"/>
      <c r="AF29" s="83"/>
      <c r="AG29" s="83"/>
    </row>
    <row r="30" spans="2:31" ht="1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>
        <v>98.274</v>
      </c>
      <c r="Q30" s="8"/>
      <c r="R30" s="8"/>
      <c r="S30" s="8">
        <v>100.661</v>
      </c>
      <c r="T30" s="8">
        <v>86.779</v>
      </c>
      <c r="U30" s="8">
        <v>3.695</v>
      </c>
      <c r="V30" s="8"/>
      <c r="W30" s="8"/>
      <c r="X30" s="8"/>
      <c r="Y30" s="27"/>
      <c r="Z30" s="27"/>
      <c r="AA30" s="7">
        <f>SUM(D30:Z30)</f>
        <v>345.916</v>
      </c>
      <c r="AB30" s="53">
        <f t="shared" si="4"/>
        <v>-885.192</v>
      </c>
      <c r="AE30" s="80"/>
    </row>
    <row r="31" spans="2:31" ht="42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7.7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>
        <v>-1</v>
      </c>
      <c r="Q32" s="18">
        <v>146.7</v>
      </c>
      <c r="R32" s="18">
        <v>164.699</v>
      </c>
      <c r="S32" s="18"/>
      <c r="T32" s="18">
        <v>2.019</v>
      </c>
      <c r="U32" s="60"/>
      <c r="V32" s="60"/>
      <c r="W32" s="60"/>
      <c r="X32" s="18"/>
      <c r="Y32" s="18"/>
      <c r="Z32" s="18"/>
      <c r="AA32" s="18">
        <f>SUM(D32:Z32)</f>
        <v>338.612</v>
      </c>
      <c r="AB32" s="53">
        <f t="shared" si="4"/>
        <v>-274.91900000000004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>
        <v>111.985</v>
      </c>
      <c r="V33" s="18"/>
      <c r="W33" s="18"/>
      <c r="X33" s="18"/>
      <c r="Y33" s="18"/>
      <c r="Z33" s="18"/>
      <c r="AA33" s="18">
        <f>SUM(D33:Z33)</f>
        <v>111.985</v>
      </c>
      <c r="AB33" s="53">
        <f t="shared" si="4"/>
        <v>-312.518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9.623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313.93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544.999</v>
      </c>
      <c r="AB35" s="53">
        <f t="shared" si="4"/>
        <v>-55.32000000000005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>
        <v>310.665</v>
      </c>
      <c r="V36" s="8"/>
      <c r="W36" s="8"/>
      <c r="X36" s="7"/>
      <c r="Y36" s="7"/>
      <c r="Z36" s="7"/>
      <c r="AA36" s="7">
        <f>SUM(D36:Z36)</f>
        <v>497.274</v>
      </c>
      <c r="AB36" s="53">
        <f t="shared" si="4"/>
        <v>-25.576999999999998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>
        <v>3.3</v>
      </c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>
        <v>4.153</v>
      </c>
      <c r="Q39" s="7"/>
      <c r="R39" s="25"/>
      <c r="S39" s="7"/>
      <c r="T39" s="7"/>
      <c r="U39" s="7">
        <v>3.265</v>
      </c>
      <c r="V39" s="8"/>
      <c r="W39" s="8"/>
      <c r="X39" s="7"/>
      <c r="Y39" s="7"/>
      <c r="Z39" s="7"/>
      <c r="AA39" s="7">
        <f>SUM(D39:Z39)</f>
        <v>36.241</v>
      </c>
      <c r="AB39" s="53">
        <f t="shared" si="4"/>
        <v>-18.176000000000002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>
        <v>2.17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8.184</v>
      </c>
      <c r="AB40" s="53">
        <f t="shared" si="4"/>
        <v>-9.756000000000002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1.066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98.871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172.795</v>
      </c>
      <c r="AB41" s="53">
        <f t="shared" si="4"/>
        <v>-127.79999999999998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>
        <f>69.631+29.24</f>
        <v>98.871</v>
      </c>
      <c r="U42" s="7"/>
      <c r="V42" s="8"/>
      <c r="W42" s="8"/>
      <c r="X42" s="7"/>
      <c r="Y42" s="7"/>
      <c r="Z42" s="7"/>
      <c r="AA42" s="7">
        <f>SUM(D42:Z42)</f>
        <v>157.756</v>
      </c>
      <c r="AB42" s="53">
        <f t="shared" si="4"/>
        <v>-107.50699999999998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>
        <v>1.066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12.332</v>
      </c>
      <c r="AB43" s="53">
        <f t="shared" si="4"/>
        <v>-14.181999999999999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4.919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35.661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77.144</v>
      </c>
      <c r="AB45" s="53">
        <f t="shared" si="4"/>
        <v>-100.781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>
        <v>35.661</v>
      </c>
      <c r="U46" s="7"/>
      <c r="V46" s="8"/>
      <c r="W46" s="8"/>
      <c r="X46" s="8"/>
      <c r="Y46" s="8"/>
      <c r="Z46" s="8"/>
      <c r="AA46" s="7">
        <f>SUM(D46:Z46)</f>
        <v>68.85</v>
      </c>
      <c r="AB46" s="53">
        <f t="shared" si="4"/>
        <v>-93.18700000000001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>
        <v>4.919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5.215999999999999</v>
      </c>
      <c r="AB48" s="53">
        <f t="shared" si="4"/>
        <v>-2.644000000000001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5.7780000000000005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12.206</v>
      </c>
      <c r="AB49" s="53">
        <f t="shared" si="4"/>
        <v>-19.671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>
        <v>3.837</v>
      </c>
      <c r="V50" s="8"/>
      <c r="W50" s="8"/>
      <c r="X50" s="8"/>
      <c r="Y50" s="8"/>
      <c r="Z50" s="8"/>
      <c r="AA50" s="7">
        <f>SUM(D50:Z50)</f>
        <v>5.237</v>
      </c>
      <c r="AB50" s="53">
        <f t="shared" si="4"/>
        <v>-6.4399999999999995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1.941</v>
      </c>
      <c r="V51" s="8"/>
      <c r="W51" s="8"/>
      <c r="X51" s="8"/>
      <c r="Y51" s="8"/>
      <c r="Z51" s="8"/>
      <c r="AA51" s="7">
        <f>SUM(D51:Z51)</f>
        <v>6.968999999999999</v>
      </c>
      <c r="AB51" s="53">
        <f t="shared" si="4"/>
        <v>-13.231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24.795</v>
      </c>
      <c r="P52" s="18">
        <f t="shared" si="14"/>
        <v>95.103</v>
      </c>
      <c r="Q52" s="18">
        <f t="shared" si="14"/>
        <v>17.673</v>
      </c>
      <c r="R52" s="18">
        <f t="shared" si="14"/>
        <v>0</v>
      </c>
      <c r="S52" s="18">
        <f t="shared" si="14"/>
        <v>136.972</v>
      </c>
      <c r="T52" s="18">
        <f>SUM(T53:T56)</f>
        <v>0.278</v>
      </c>
      <c r="U52" s="18">
        <f t="shared" si="14"/>
        <v>136.212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686.818</v>
      </c>
      <c r="AB52" s="53">
        <f t="shared" si="4"/>
        <v>-403.0600000000002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>
        <v>136.972</v>
      </c>
      <c r="T53" s="7"/>
      <c r="U53" s="7">
        <v>135.012</v>
      </c>
      <c r="V53" s="8"/>
      <c r="W53" s="8"/>
      <c r="X53" s="8"/>
      <c r="Y53" s="7"/>
      <c r="Z53" s="7"/>
      <c r="AA53" s="7">
        <f>SUM(D53:Z53)</f>
        <v>443.335</v>
      </c>
      <c r="AB53" s="53">
        <f t="shared" si="4"/>
        <v>-118.15900000000005</v>
      </c>
    </row>
    <row r="54" spans="2:28" ht="1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>
        <v>8.615</v>
      </c>
      <c r="P54" s="25">
        <v>0.103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109.56599999999999</v>
      </c>
      <c r="AB54" s="53">
        <f t="shared" si="4"/>
        <v>-90.914</v>
      </c>
    </row>
    <row r="55" spans="2:28" ht="1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>
        <v>1.2</v>
      </c>
      <c r="V55" s="8"/>
      <c r="W55" s="8"/>
      <c r="X55" s="8"/>
      <c r="Y55" s="7"/>
      <c r="Z55" s="7"/>
      <c r="AA55" s="7">
        <f>SUM(D55:Z55)</f>
        <v>1.2</v>
      </c>
      <c r="AB55" s="53">
        <f t="shared" si="4"/>
        <v>-5.42</v>
      </c>
    </row>
    <row r="56" spans="2:29" ht="1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>
        <v>16.18</v>
      </c>
      <c r="P56" s="7">
        <v>95</v>
      </c>
      <c r="Q56" s="7">
        <v>17.673</v>
      </c>
      <c r="R56" s="7"/>
      <c r="S56" s="7"/>
      <c r="T56" s="7">
        <v>0.278</v>
      </c>
      <c r="U56" s="7"/>
      <c r="V56" s="7"/>
      <c r="W56" s="7"/>
      <c r="X56" s="7"/>
      <c r="Y56" s="7"/>
      <c r="Z56" s="7"/>
      <c r="AA56" s="7">
        <f>SUM(D56:Z56)</f>
        <v>132.71699999999998</v>
      </c>
      <c r="AB56" s="53">
        <f t="shared" si="4"/>
        <v>-188.567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3.111</v>
      </c>
      <c r="P57" s="18">
        <f t="shared" si="15"/>
        <v>0</v>
      </c>
      <c r="Q57" s="18">
        <f t="shared" si="15"/>
        <v>11.492</v>
      </c>
      <c r="R57" s="18">
        <f t="shared" si="15"/>
        <v>0</v>
      </c>
      <c r="S57" s="18">
        <f t="shared" si="15"/>
        <v>71.208</v>
      </c>
      <c r="T57" s="18">
        <f>SUM(T58:T62)</f>
        <v>14.895</v>
      </c>
      <c r="U57" s="18">
        <f>SUM(U58:U62)</f>
        <v>211.58899999999997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451.067</v>
      </c>
      <c r="AB57" s="53">
        <f t="shared" si="4"/>
        <v>-268.336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>
        <v>172.688</v>
      </c>
      <c r="V58" s="8"/>
      <c r="W58" s="8"/>
      <c r="X58" s="7"/>
      <c r="Y58" s="7"/>
      <c r="Z58" s="7"/>
      <c r="AA58" s="7">
        <f>SUM(D58:Z58)</f>
        <v>272.659</v>
      </c>
      <c r="AB58" s="53">
        <f t="shared" si="4"/>
        <v>-121.27100000000002</v>
      </c>
    </row>
    <row r="59" spans="2:28" ht="1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>
        <v>3.111</v>
      </c>
      <c r="P60" s="25"/>
      <c r="Q60" s="7">
        <v>5.65</v>
      </c>
      <c r="R60" s="7"/>
      <c r="S60" s="7"/>
      <c r="T60" s="7"/>
      <c r="U60" s="7">
        <v>0.682</v>
      </c>
      <c r="V60" s="8"/>
      <c r="W60" s="8"/>
      <c r="X60" s="7"/>
      <c r="Y60" s="7"/>
      <c r="Z60" s="7"/>
      <c r="AA60" s="7">
        <f>SUM(D60:Z60)</f>
        <v>23.462999999999997</v>
      </c>
      <c r="AB60" s="53">
        <f t="shared" si="4"/>
        <v>-33.554</v>
      </c>
    </row>
    <row r="61" spans="2:28" ht="1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>
        <v>14.895</v>
      </c>
      <c r="U61" s="7"/>
      <c r="V61" s="8"/>
      <c r="W61" s="7"/>
      <c r="X61" s="8"/>
      <c r="Y61" s="8"/>
      <c r="Z61" s="8"/>
      <c r="AA61" s="7">
        <f>SUM(D61:Z61)</f>
        <v>22.802</v>
      </c>
      <c r="AB61" s="53">
        <f t="shared" si="4"/>
        <v>-19.661</v>
      </c>
    </row>
    <row r="62" spans="2:28" ht="1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>
        <v>5.842</v>
      </c>
      <c r="R62" s="7"/>
      <c r="S62" s="7">
        <v>71.208</v>
      </c>
      <c r="T62" s="7"/>
      <c r="U62" s="7">
        <v>38.219</v>
      </c>
      <c r="V62" s="7"/>
      <c r="W62" s="7"/>
      <c r="X62" s="7"/>
      <c r="Y62" s="7"/>
      <c r="Z62" s="7"/>
      <c r="AA62" s="7">
        <f>SUM(D62:Z62)</f>
        <v>132.143</v>
      </c>
      <c r="AB62" s="53">
        <f t="shared" si="4"/>
        <v>-93.35</v>
      </c>
    </row>
    <row r="63" spans="2:28" ht="1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54.267</v>
      </c>
      <c r="Q63" s="18">
        <f t="shared" si="16"/>
        <v>513.007</v>
      </c>
      <c r="R63" s="18">
        <f t="shared" si="16"/>
        <v>4.854</v>
      </c>
      <c r="S63" s="18">
        <f t="shared" si="16"/>
        <v>24.96</v>
      </c>
      <c r="T63" s="18">
        <f>T64+T65</f>
        <v>262.081</v>
      </c>
      <c r="U63" s="18">
        <f t="shared" si="16"/>
        <v>5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1927.601</v>
      </c>
      <c r="AB63" s="53">
        <f t="shared" si="4"/>
        <v>-1841.2399999999998</v>
      </c>
    </row>
    <row r="64" spans="2:28" ht="1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145.822</v>
      </c>
      <c r="U64" s="8">
        <v>5</v>
      </c>
      <c r="V64" s="8"/>
      <c r="W64" s="8"/>
      <c r="X64" s="8"/>
      <c r="Y64" s="8"/>
      <c r="Z64" s="8"/>
      <c r="AA64" s="8">
        <f>SUM(D64:Z64)</f>
        <v>150.822</v>
      </c>
      <c r="AB64" s="53">
        <f t="shared" si="4"/>
        <v>-213.858</v>
      </c>
    </row>
    <row r="65" spans="2:28" ht="1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>
        <v>54.267</v>
      </c>
      <c r="Q65" s="8">
        <v>513.007</v>
      </c>
      <c r="R65" s="8">
        <v>4.854</v>
      </c>
      <c r="S65" s="8">
        <v>24.96</v>
      </c>
      <c r="T65" s="8">
        <v>116.259</v>
      </c>
      <c r="U65" s="8"/>
      <c r="V65" s="8"/>
      <c r="W65" s="8"/>
      <c r="X65" s="8"/>
      <c r="Y65" s="8"/>
      <c r="Z65" s="8"/>
      <c r="AA65" s="8">
        <f>SUM(D65:Z65)</f>
        <v>1776.7790000000002</v>
      </c>
      <c r="AB65" s="53">
        <f t="shared" si="4"/>
        <v>-1627.3819999999998</v>
      </c>
    </row>
    <row r="66" spans="2:28" ht="1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3.5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13.77</v>
      </c>
      <c r="AB66" s="53">
        <f t="shared" si="4"/>
        <v>-82.727</v>
      </c>
    </row>
    <row r="67" spans="2:28" ht="1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3.5</v>
      </c>
      <c r="S68" s="8"/>
      <c r="T68" s="8"/>
      <c r="U68" s="8"/>
      <c r="V68" s="8"/>
      <c r="W68" s="8"/>
      <c r="X68" s="8"/>
      <c r="Y68" s="8"/>
      <c r="Z68" s="8"/>
      <c r="AA68" s="8">
        <f>SUM(D68:Z68)</f>
        <v>4.154</v>
      </c>
      <c r="AB68" s="53">
        <f t="shared" si="4"/>
        <v>-68.893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135.736</v>
      </c>
      <c r="P70" s="18">
        <f t="shared" si="18"/>
        <v>0</v>
      </c>
      <c r="Q70" s="18">
        <f t="shared" si="18"/>
        <v>0</v>
      </c>
      <c r="R70" s="18">
        <f t="shared" si="18"/>
        <v>139.264</v>
      </c>
      <c r="S70" s="18">
        <f t="shared" si="18"/>
        <v>0</v>
      </c>
      <c r="T70" s="18">
        <f t="shared" si="18"/>
        <v>149.944</v>
      </c>
      <c r="U70" s="18">
        <f t="shared" si="18"/>
        <v>119.788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1028.9979999999998</v>
      </c>
      <c r="AB70" s="53">
        <f t="shared" si="4"/>
        <v>-237.20200000000023</v>
      </c>
      <c r="AC70" s="35"/>
    </row>
    <row r="71" spans="2:40" s="35" customFormat="1" ht="1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>
        <v>135.736</v>
      </c>
      <c r="P71" s="8"/>
      <c r="Q71" s="8"/>
      <c r="R71" s="8">
        <v>139.264</v>
      </c>
      <c r="S71" s="8"/>
      <c r="T71" s="8">
        <v>149.944</v>
      </c>
      <c r="U71" s="8">
        <v>119.788</v>
      </c>
      <c r="V71" s="8"/>
      <c r="W71" s="8"/>
      <c r="X71" s="8"/>
      <c r="Y71" s="8"/>
      <c r="Z71" s="8"/>
      <c r="AA71" s="8">
        <f aca="true" t="shared" si="19" ref="AA71:AA80">SUM(D71:Z71)</f>
        <v>1028.9979999999998</v>
      </c>
      <c r="AB71" s="53">
        <f t="shared" si="4"/>
        <v>-237.20200000000023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>
        <v>162.522</v>
      </c>
      <c r="V73" s="18"/>
      <c r="W73" s="18"/>
      <c r="X73" s="18"/>
      <c r="Y73" s="18"/>
      <c r="Z73" s="18"/>
      <c r="AA73" s="18">
        <f t="shared" si="19"/>
        <v>162.522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5.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250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250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5.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>
        <v>22</v>
      </c>
      <c r="T79" s="18"/>
      <c r="U79" s="18">
        <v>250</v>
      </c>
      <c r="V79" s="18"/>
      <c r="W79" s="18"/>
      <c r="X79" s="18"/>
      <c r="Y79" s="18"/>
      <c r="Z79" s="18"/>
      <c r="AA79" s="18">
        <f t="shared" si="19"/>
        <v>272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2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>
        <v>19.975</v>
      </c>
      <c r="P80" s="18">
        <v>74.91</v>
      </c>
      <c r="Q80" s="18">
        <v>38.652</v>
      </c>
      <c r="R80" s="18">
        <v>27.11</v>
      </c>
      <c r="S80" s="18">
        <v>603.833</v>
      </c>
      <c r="T80" s="18">
        <v>424.206</v>
      </c>
      <c r="U80" s="18">
        <v>58.146</v>
      </c>
      <c r="V80" s="18">
        <v>-11.247</v>
      </c>
      <c r="W80" s="18"/>
      <c r="X80" s="18"/>
      <c r="Y80" s="18"/>
      <c r="Z80" s="18"/>
      <c r="AA80" s="18">
        <f t="shared" si="19"/>
        <v>3164.3870000000006</v>
      </c>
      <c r="AB80" s="53">
        <f t="shared" si="4"/>
        <v>3164.3870000000006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474.372</v>
      </c>
      <c r="P81" s="26">
        <f t="shared" si="20"/>
        <v>725.841</v>
      </c>
      <c r="Q81" s="26">
        <f t="shared" si="20"/>
        <v>859.31</v>
      </c>
      <c r="R81" s="26">
        <f t="shared" si="20"/>
        <v>392.66</v>
      </c>
      <c r="S81" s="26">
        <f t="shared" si="20"/>
        <v>959.634</v>
      </c>
      <c r="T81" s="26">
        <f>SUM(T82:T88)</f>
        <v>6600.66</v>
      </c>
      <c r="U81" s="26">
        <f t="shared" si="20"/>
        <v>2794.09</v>
      </c>
      <c r="V81" s="26">
        <f t="shared" si="20"/>
        <v>-12.836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23452.702</v>
      </c>
      <c r="AB81" s="53">
        <f t="shared" si="4"/>
        <v>-7944.621999999996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136.972</v>
      </c>
      <c r="T82" s="23">
        <f t="shared" si="21"/>
        <v>5093.928</v>
      </c>
      <c r="U82" s="23">
        <f t="shared" si="21"/>
        <v>1676.201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12128.069</v>
      </c>
      <c r="AB82" s="53">
        <f t="shared" si="4"/>
        <v>-3928.826000000001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0.854</v>
      </c>
      <c r="Q83" s="23">
        <f t="shared" si="22"/>
        <v>1.499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3.5820000000000003</v>
      </c>
      <c r="AB83" s="53">
        <f t="shared" si="4"/>
        <v>-11.030999999999999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24.826</v>
      </c>
      <c r="Q84" s="23">
        <f t="shared" si="23"/>
        <v>30.032</v>
      </c>
      <c r="R84" s="23">
        <f t="shared" si="23"/>
        <v>8.794</v>
      </c>
      <c r="S84" s="23">
        <f t="shared" si="23"/>
        <v>0</v>
      </c>
      <c r="T84" s="23">
        <f t="shared" si="23"/>
        <v>150.326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562.2379999999999</v>
      </c>
      <c r="AB84" s="53">
        <f t="shared" si="4"/>
        <v>-242.36400000000003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12.792000000000002</v>
      </c>
      <c r="P85" s="23">
        <f t="shared" si="24"/>
        <v>353.071</v>
      </c>
      <c r="Q85" s="23">
        <f t="shared" si="24"/>
        <v>85.292</v>
      </c>
      <c r="R85" s="23">
        <f t="shared" si="24"/>
        <v>27.679</v>
      </c>
      <c r="S85" s="23">
        <f t="shared" si="24"/>
        <v>0</v>
      </c>
      <c r="T85" s="23">
        <f t="shared" si="24"/>
        <v>264.352</v>
      </c>
      <c r="U85" s="23">
        <f t="shared" si="24"/>
        <v>5.219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1840.004</v>
      </c>
      <c r="AB85" s="53">
        <f>AA85-C85</f>
        <v>-1142.0059999999999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163.72199999999998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163.72199999999998</v>
      </c>
      <c r="AB86" s="53">
        <f>AA86-C86</f>
        <v>-342.898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250</v>
      </c>
      <c r="P87" s="23">
        <f t="shared" si="26"/>
        <v>152.541</v>
      </c>
      <c r="Q87" s="23">
        <f t="shared" si="26"/>
        <v>513.007</v>
      </c>
      <c r="R87" s="23">
        <f t="shared" si="26"/>
        <v>8.354</v>
      </c>
      <c r="S87" s="23">
        <f t="shared" si="26"/>
        <v>147.621</v>
      </c>
      <c r="T87" s="23">
        <f t="shared" si="26"/>
        <v>217.933</v>
      </c>
      <c r="U87" s="23">
        <f t="shared" si="26"/>
        <v>255.636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2678.6200000000003</v>
      </c>
      <c r="AB87" s="53">
        <f>AA87-C87</f>
        <v>-2812.126999999999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211.57999999999998</v>
      </c>
      <c r="P88" s="23">
        <f t="shared" si="27"/>
        <v>194.54899999999998</v>
      </c>
      <c r="Q88" s="23">
        <f t="shared" si="27"/>
        <v>229.48000000000002</v>
      </c>
      <c r="R88" s="23">
        <f t="shared" si="27"/>
        <v>347.833</v>
      </c>
      <c r="S88" s="23">
        <f t="shared" si="27"/>
        <v>675.0409999999999</v>
      </c>
      <c r="T88" s="23">
        <f t="shared" si="27"/>
        <v>874.121</v>
      </c>
      <c r="U88" s="23">
        <f t="shared" si="27"/>
        <v>693.3119999999999</v>
      </c>
      <c r="V88" s="23">
        <f t="shared" si="27"/>
        <v>-12.836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6076.467000000001</v>
      </c>
      <c r="AB88" s="53">
        <f>AA88-C88</f>
        <v>534.6300000000001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zoomScale="85" zoomScaleNormal="85" zoomScaleSheetLayoutView="55" workbookViewId="0" topLeftCell="B1">
      <pane xSplit="4740" ySplit="2712" topLeftCell="X10" activePane="bottomRight" state="split"/>
      <selection pane="topLeft" activeCell="P84" sqref="P84"/>
      <selection pane="topRight" activeCell="AD5" sqref="AD5"/>
      <selection pane="bottomLeft" activeCell="C10" sqref="C10"/>
      <selection pane="bottomRight" activeCell="X13" sqref="X13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13" width="8.625" style="4" customWidth="1"/>
    <col min="14" max="14" width="8.625" style="4" hidden="1" customWidth="1"/>
    <col min="15" max="24" width="8.625" style="4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70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2</v>
      </c>
      <c r="E5" s="5">
        <v>3</v>
      </c>
      <c r="F5" s="5">
        <v>6</v>
      </c>
      <c r="G5" s="5">
        <v>7</v>
      </c>
      <c r="H5" s="5">
        <v>8</v>
      </c>
      <c r="I5" s="5">
        <v>13</v>
      </c>
      <c r="J5" s="6">
        <v>14</v>
      </c>
      <c r="K5" s="5">
        <v>15</v>
      </c>
      <c r="L5" s="5">
        <v>16</v>
      </c>
      <c r="M5" s="5">
        <v>17</v>
      </c>
      <c r="N5" s="5">
        <v>18</v>
      </c>
      <c r="O5" s="5">
        <v>20</v>
      </c>
      <c r="P5" s="5">
        <v>21</v>
      </c>
      <c r="Q5" s="5">
        <v>22</v>
      </c>
      <c r="R5" s="5">
        <v>23</v>
      </c>
      <c r="S5" s="5">
        <v>24</v>
      </c>
      <c r="T5" s="5">
        <v>27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27">
      <c r="B6" s="48" t="s">
        <v>39</v>
      </c>
      <c r="C6" s="21">
        <f>SUM(D6:Y6)</f>
        <v>135</v>
      </c>
      <c r="D6" s="45">
        <v>59.4</v>
      </c>
      <c r="E6" s="7"/>
      <c r="F6" s="9"/>
      <c r="G6" s="7"/>
      <c r="H6" s="9">
        <v>75.6</v>
      </c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">
      <c r="B7" s="49" t="s">
        <v>38</v>
      </c>
      <c r="C7" s="21">
        <f>SUM(D7:Y7)</f>
        <v>7087.1</v>
      </c>
      <c r="D7" s="1">
        <v>3543.6</v>
      </c>
      <c r="E7" s="7"/>
      <c r="F7" s="7"/>
      <c r="G7" s="7"/>
      <c r="H7" s="7">
        <v>3543.5</v>
      </c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">
      <c r="B8" s="38" t="s">
        <v>26</v>
      </c>
      <c r="C8" s="54">
        <f aca="true" t="shared" si="0" ref="C8:C16">SUM(D8:Z8)</f>
        <v>20147.2</v>
      </c>
      <c r="D8" s="37">
        <f aca="true" t="shared" si="1" ref="D8:Y8">SUM(D9:D16)</f>
        <v>634.3</v>
      </c>
      <c r="E8" s="37">
        <f t="shared" si="1"/>
        <v>671.8</v>
      </c>
      <c r="F8" s="37">
        <f t="shared" si="1"/>
        <v>976.1</v>
      </c>
      <c r="G8" s="37">
        <f t="shared" si="1"/>
        <v>3020.8000000000006</v>
      </c>
      <c r="H8" s="37">
        <f t="shared" si="1"/>
        <v>1712</v>
      </c>
      <c r="I8" s="37">
        <f>SUM(I9:I16)</f>
        <v>660.2</v>
      </c>
      <c r="J8" s="37">
        <f t="shared" si="1"/>
        <v>768.5</v>
      </c>
      <c r="K8" s="37">
        <f>SUM(K9:K16)</f>
        <v>1230.9</v>
      </c>
      <c r="L8" s="37">
        <f t="shared" si="1"/>
        <v>583.6000000000001</v>
      </c>
      <c r="M8" s="37">
        <f t="shared" si="1"/>
        <v>786.4999999999999</v>
      </c>
      <c r="N8" s="37">
        <f t="shared" si="1"/>
        <v>0</v>
      </c>
      <c r="O8" s="37">
        <f t="shared" si="1"/>
        <v>1066.1000000000001</v>
      </c>
      <c r="P8" s="37">
        <f t="shared" si="1"/>
        <v>1070.8</v>
      </c>
      <c r="Q8" s="37">
        <f t="shared" si="1"/>
        <v>1003.1999999999999</v>
      </c>
      <c r="R8" s="37">
        <f t="shared" si="1"/>
        <v>495.59999999999997</v>
      </c>
      <c r="S8" s="37">
        <f>SUM(S9:S16)</f>
        <v>996.3000000000001</v>
      </c>
      <c r="T8" s="37">
        <f>SUM(T9:T16)</f>
        <v>996.3</v>
      </c>
      <c r="U8" s="37">
        <f t="shared" si="1"/>
        <v>1333.6</v>
      </c>
      <c r="V8" s="37">
        <f t="shared" si="1"/>
        <v>764.7</v>
      </c>
      <c r="W8" s="37">
        <f t="shared" si="1"/>
        <v>687.9000000000001</v>
      </c>
      <c r="X8" s="37">
        <f t="shared" si="1"/>
        <v>688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">
      <c r="B9" s="39" t="s">
        <v>27</v>
      </c>
      <c r="C9" s="47">
        <f t="shared" si="0"/>
        <v>10676.9</v>
      </c>
      <c r="D9" s="40">
        <v>109.7</v>
      </c>
      <c r="E9" s="8">
        <v>205.1</v>
      </c>
      <c r="F9" s="8">
        <v>813.6</v>
      </c>
      <c r="G9" s="8">
        <v>2576.5</v>
      </c>
      <c r="H9" s="8">
        <v>737.2</v>
      </c>
      <c r="I9" s="8">
        <v>190.6</v>
      </c>
      <c r="J9" s="8">
        <v>339.5</v>
      </c>
      <c r="K9" s="8">
        <v>578.1</v>
      </c>
      <c r="L9" s="8">
        <v>141.9</v>
      </c>
      <c r="M9" s="8">
        <v>143.1</v>
      </c>
      <c r="N9" s="8"/>
      <c r="O9" s="8">
        <v>681.8</v>
      </c>
      <c r="P9" s="8">
        <v>595.9</v>
      </c>
      <c r="Q9" s="8">
        <v>696.4</v>
      </c>
      <c r="R9" s="43">
        <v>301.6</v>
      </c>
      <c r="S9" s="43">
        <v>508</v>
      </c>
      <c r="T9" s="8">
        <v>553.8</v>
      </c>
      <c r="U9" s="43">
        <v>394.7</v>
      </c>
      <c r="V9" s="8">
        <v>426</v>
      </c>
      <c r="W9" s="8">
        <v>252.1</v>
      </c>
      <c r="X9" s="8">
        <v>431.3</v>
      </c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0.30000000000000004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0.2</v>
      </c>
      <c r="P10" s="8"/>
      <c r="Q10" s="8"/>
      <c r="R10" s="43"/>
      <c r="S10" s="43"/>
      <c r="T10" s="8">
        <v>0.1</v>
      </c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1263.7999999999997</v>
      </c>
      <c r="D11" s="40">
        <v>98.4</v>
      </c>
      <c r="E11" s="8">
        <v>67.7</v>
      </c>
      <c r="F11" s="8">
        <v>62.6</v>
      </c>
      <c r="G11" s="8">
        <v>49.2</v>
      </c>
      <c r="H11" s="8">
        <v>130.4</v>
      </c>
      <c r="I11" s="8">
        <v>26.3</v>
      </c>
      <c r="J11" s="8">
        <v>30.5</v>
      </c>
      <c r="K11" s="8">
        <v>37.6</v>
      </c>
      <c r="L11" s="8">
        <v>22.5</v>
      </c>
      <c r="M11" s="8">
        <v>39.3</v>
      </c>
      <c r="N11" s="8"/>
      <c r="O11" s="8">
        <v>66.7</v>
      </c>
      <c r="P11" s="8">
        <v>19</v>
      </c>
      <c r="Q11" s="8">
        <v>47.4</v>
      </c>
      <c r="R11" s="43">
        <v>49</v>
      </c>
      <c r="S11" s="43">
        <v>39.6</v>
      </c>
      <c r="T11" s="8">
        <v>133.3</v>
      </c>
      <c r="U11" s="43">
        <v>191.3</v>
      </c>
      <c r="V11" s="8">
        <v>56.8</v>
      </c>
      <c r="W11" s="8">
        <v>61.6</v>
      </c>
      <c r="X11" s="8">
        <v>34.6</v>
      </c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1102.3999999999999</v>
      </c>
      <c r="D12" s="40">
        <v>62.4</v>
      </c>
      <c r="E12" s="8">
        <v>53.7</v>
      </c>
      <c r="F12" s="8">
        <v>7.5</v>
      </c>
      <c r="G12" s="8">
        <v>6.8</v>
      </c>
      <c r="H12" s="8">
        <v>71.6</v>
      </c>
      <c r="I12" s="8">
        <v>127.2</v>
      </c>
      <c r="J12" s="8">
        <v>46.5</v>
      </c>
      <c r="K12" s="8">
        <v>70.1</v>
      </c>
      <c r="L12" s="8">
        <v>42.2</v>
      </c>
      <c r="M12" s="8">
        <v>66</v>
      </c>
      <c r="N12" s="8"/>
      <c r="O12" s="8">
        <v>82.1</v>
      </c>
      <c r="P12" s="8">
        <v>62.9</v>
      </c>
      <c r="Q12" s="8">
        <v>61.2</v>
      </c>
      <c r="R12" s="43">
        <v>31.9</v>
      </c>
      <c r="S12" s="43">
        <v>78.9</v>
      </c>
      <c r="T12" s="8">
        <v>32.9</v>
      </c>
      <c r="U12" s="43">
        <v>36.6</v>
      </c>
      <c r="V12" s="8">
        <v>55.1</v>
      </c>
      <c r="W12" s="8">
        <v>39</v>
      </c>
      <c r="X12" s="8">
        <v>67.8</v>
      </c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3394.4</v>
      </c>
      <c r="D13" s="40">
        <v>56</v>
      </c>
      <c r="E13" s="8">
        <v>202.4</v>
      </c>
      <c r="F13" s="8">
        <v>17</v>
      </c>
      <c r="G13" s="8">
        <v>74.3</v>
      </c>
      <c r="H13" s="8">
        <v>277.5</v>
      </c>
      <c r="I13" s="8">
        <v>203.5</v>
      </c>
      <c r="J13" s="8">
        <v>32.2</v>
      </c>
      <c r="K13" s="8">
        <v>81.7</v>
      </c>
      <c r="L13" s="8">
        <v>51.5</v>
      </c>
      <c r="M13" s="8">
        <v>42.8</v>
      </c>
      <c r="N13" s="8"/>
      <c r="O13" s="8">
        <v>43.2</v>
      </c>
      <c r="P13" s="8">
        <v>277.9</v>
      </c>
      <c r="Q13" s="8">
        <v>128.6</v>
      </c>
      <c r="R13" s="43">
        <v>73.2</v>
      </c>
      <c r="S13" s="43">
        <v>315.2</v>
      </c>
      <c r="T13" s="8">
        <v>249</v>
      </c>
      <c r="U13" s="8">
        <v>687.6</v>
      </c>
      <c r="V13" s="8">
        <v>158.3</v>
      </c>
      <c r="W13" s="8">
        <v>308.5</v>
      </c>
      <c r="X13" s="8">
        <v>114</v>
      </c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3020.6</v>
      </c>
      <c r="D14" s="40">
        <v>260.9</v>
      </c>
      <c r="E14" s="8">
        <v>118.7</v>
      </c>
      <c r="F14" s="8">
        <v>54</v>
      </c>
      <c r="G14" s="8">
        <v>295.3</v>
      </c>
      <c r="H14" s="8">
        <v>438.7</v>
      </c>
      <c r="I14" s="8">
        <v>97.9</v>
      </c>
      <c r="J14" s="8">
        <v>224.3</v>
      </c>
      <c r="K14" s="8">
        <v>368.4</v>
      </c>
      <c r="L14" s="8">
        <v>291.8</v>
      </c>
      <c r="M14" s="8">
        <v>474.9</v>
      </c>
      <c r="N14" s="8"/>
      <c r="O14" s="8">
        <v>170.1</v>
      </c>
      <c r="P14" s="8">
        <v>100.5</v>
      </c>
      <c r="Q14" s="8">
        <v>41.8</v>
      </c>
      <c r="R14" s="43">
        <v>7.7</v>
      </c>
      <c r="S14" s="43">
        <v>30.6</v>
      </c>
      <c r="T14" s="8">
        <v>12.5</v>
      </c>
      <c r="U14" s="43">
        <v>5.3</v>
      </c>
      <c r="V14" s="8">
        <v>6.1</v>
      </c>
      <c r="W14" s="8">
        <v>1.7</v>
      </c>
      <c r="X14" s="8">
        <v>19.4</v>
      </c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241.20000000000005</v>
      </c>
      <c r="D15" s="40">
        <v>8.6</v>
      </c>
      <c r="E15" s="8">
        <v>17.8</v>
      </c>
      <c r="F15" s="8">
        <v>11.1</v>
      </c>
      <c r="G15" s="8">
        <v>9.8</v>
      </c>
      <c r="H15" s="8">
        <v>33.8</v>
      </c>
      <c r="I15" s="8">
        <v>10</v>
      </c>
      <c r="J15" s="8">
        <v>6.4</v>
      </c>
      <c r="K15" s="8">
        <v>12.3</v>
      </c>
      <c r="L15" s="8">
        <v>13.2</v>
      </c>
      <c r="M15" s="8">
        <v>6.6</v>
      </c>
      <c r="N15" s="8"/>
      <c r="O15" s="8">
        <v>13.4</v>
      </c>
      <c r="P15" s="8">
        <v>9.4</v>
      </c>
      <c r="Q15" s="8">
        <v>13.5</v>
      </c>
      <c r="R15" s="43">
        <v>11.3</v>
      </c>
      <c r="S15" s="43">
        <v>15.4</v>
      </c>
      <c r="T15" s="8">
        <v>7.9</v>
      </c>
      <c r="U15" s="43">
        <v>10.5</v>
      </c>
      <c r="V15" s="8">
        <v>10.8</v>
      </c>
      <c r="W15" s="8">
        <v>10.3</v>
      </c>
      <c r="X15" s="8">
        <v>9.1</v>
      </c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447.6000000000001</v>
      </c>
      <c r="D16" s="40">
        <v>38.3</v>
      </c>
      <c r="E16" s="8">
        <v>6.4</v>
      </c>
      <c r="F16" s="8">
        <v>10.3</v>
      </c>
      <c r="G16" s="8">
        <v>8.9</v>
      </c>
      <c r="H16" s="8">
        <v>22.8</v>
      </c>
      <c r="I16" s="8">
        <v>4.7</v>
      </c>
      <c r="J16" s="8">
        <v>89.1</v>
      </c>
      <c r="K16" s="8">
        <v>82.7</v>
      </c>
      <c r="L16" s="8">
        <v>20.5</v>
      </c>
      <c r="M16" s="8">
        <v>13.8</v>
      </c>
      <c r="N16" s="8"/>
      <c r="O16" s="8">
        <v>8.6</v>
      </c>
      <c r="P16" s="8">
        <v>5.2</v>
      </c>
      <c r="Q16" s="8">
        <v>14.3</v>
      </c>
      <c r="R16" s="43">
        <v>20.9</v>
      </c>
      <c r="S16" s="43">
        <v>8.6</v>
      </c>
      <c r="T16" s="8">
        <v>6.8</v>
      </c>
      <c r="U16" s="43">
        <v>7.6</v>
      </c>
      <c r="V16" s="8">
        <v>51.6</v>
      </c>
      <c r="W16" s="8">
        <v>14.7</v>
      </c>
      <c r="X16" s="43">
        <v>11.8</v>
      </c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27369.3</v>
      </c>
      <c r="D17" s="22">
        <f>SUM(D6:D8)</f>
        <v>4237.3</v>
      </c>
      <c r="E17" s="22">
        <f aca="true" t="shared" si="2" ref="E17:Y17">SUM(E6:E8)</f>
        <v>671.8</v>
      </c>
      <c r="F17" s="22">
        <f t="shared" si="2"/>
        <v>976.1</v>
      </c>
      <c r="G17" s="22">
        <f t="shared" si="2"/>
        <v>3020.8000000000006</v>
      </c>
      <c r="H17" s="22">
        <f t="shared" si="2"/>
        <v>5331.1</v>
      </c>
      <c r="I17" s="22">
        <f t="shared" si="2"/>
        <v>660.2</v>
      </c>
      <c r="J17" s="22">
        <f t="shared" si="2"/>
        <v>768.5</v>
      </c>
      <c r="K17" s="22">
        <f t="shared" si="2"/>
        <v>1230.9</v>
      </c>
      <c r="L17" s="22">
        <f t="shared" si="2"/>
        <v>583.6000000000001</v>
      </c>
      <c r="M17" s="22">
        <f>SUM(M6:M8)</f>
        <v>786.4999999999999</v>
      </c>
      <c r="N17" s="22">
        <f t="shared" si="2"/>
        <v>0</v>
      </c>
      <c r="O17" s="22">
        <f t="shared" si="2"/>
        <v>1066.1000000000001</v>
      </c>
      <c r="P17" s="22">
        <f t="shared" si="2"/>
        <v>1070.8</v>
      </c>
      <c r="Q17" s="22">
        <f t="shared" si="2"/>
        <v>1003.1999999999999</v>
      </c>
      <c r="R17" s="22">
        <f t="shared" si="2"/>
        <v>495.59999999999997</v>
      </c>
      <c r="S17" s="22">
        <f t="shared" si="2"/>
        <v>996.3000000000001</v>
      </c>
      <c r="T17" s="22">
        <f>SUM(T6:T8)</f>
        <v>996.3</v>
      </c>
      <c r="U17" s="22">
        <f t="shared" si="2"/>
        <v>1333.6</v>
      </c>
      <c r="V17" s="22">
        <f t="shared" si="2"/>
        <v>764.7</v>
      </c>
      <c r="W17" s="22">
        <f t="shared" si="2"/>
        <v>687.9000000000001</v>
      </c>
      <c r="X17" s="22">
        <f t="shared" si="2"/>
        <v>688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C19+C23+C29+C32+C33+C34+C35+C41+C45+C49+C52+C57+C63+C70+C75+C76+C80+C31+C66+C74+C72+C73+C77+C78+C79+C69</f>
        <v>35975.543</v>
      </c>
      <c r="D18" s="24">
        <f aca="true" t="shared" si="3" ref="D18:AA18">D19+D23+D29+D32+D33+D34+D35+D41+D45+D49+D52+D57+D63+D70+D75+D76+D80+D31+D66+D74+D72+D73+D77+D78+D79+D69</f>
        <v>0.9</v>
      </c>
      <c r="E18" s="24">
        <f t="shared" si="3"/>
        <v>1665.446</v>
      </c>
      <c r="F18" s="24">
        <f t="shared" si="3"/>
        <v>0</v>
      </c>
      <c r="G18" s="24">
        <f t="shared" si="3"/>
        <v>1367.029</v>
      </c>
      <c r="H18" s="24">
        <f t="shared" si="3"/>
        <v>1311.873</v>
      </c>
      <c r="I18" s="24">
        <f t="shared" si="3"/>
        <v>2651.176</v>
      </c>
      <c r="J18" s="24">
        <f t="shared" si="3"/>
        <v>2171.2119999999995</v>
      </c>
      <c r="K18" s="24">
        <f t="shared" si="3"/>
        <v>537.892</v>
      </c>
      <c r="L18" s="24">
        <f t="shared" si="3"/>
        <v>701.4459999999999</v>
      </c>
      <c r="M18" s="24">
        <f t="shared" si="3"/>
        <v>480.09799999999996</v>
      </c>
      <c r="N18" s="24">
        <f t="shared" si="3"/>
        <v>0</v>
      </c>
      <c r="O18" s="24">
        <f t="shared" si="3"/>
        <v>2581.68</v>
      </c>
      <c r="P18" s="24">
        <f t="shared" si="3"/>
        <v>435.3215</v>
      </c>
      <c r="Q18" s="24">
        <f t="shared" si="3"/>
        <v>1367.673</v>
      </c>
      <c r="R18" s="24">
        <f t="shared" si="3"/>
        <v>4623.774</v>
      </c>
      <c r="S18" s="24">
        <f t="shared" si="3"/>
        <v>6129.238</v>
      </c>
      <c r="T18" s="24">
        <f t="shared" si="3"/>
        <v>1575.784</v>
      </c>
      <c r="U18" s="24">
        <f t="shared" si="3"/>
        <v>263.621</v>
      </c>
      <c r="V18" s="24">
        <f t="shared" si="3"/>
        <v>-0.075</v>
      </c>
      <c r="W18" s="24">
        <f t="shared" si="3"/>
        <v>-0.057</v>
      </c>
      <c r="X18" s="24">
        <f t="shared" si="3"/>
        <v>-1.309</v>
      </c>
      <c r="Y18" s="24">
        <f t="shared" si="3"/>
        <v>0</v>
      </c>
      <c r="Z18" s="24">
        <f t="shared" si="3"/>
        <v>0</v>
      </c>
      <c r="AA18" s="24">
        <f t="shared" si="3"/>
        <v>28901.2345</v>
      </c>
      <c r="AB18" s="53">
        <f aca="true" t="shared" si="4" ref="AB18:AB84">AA18-C18</f>
        <v>-7074.308499999999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4469.7119999999995</v>
      </c>
      <c r="D19" s="18">
        <f t="shared" si="5"/>
        <v>0</v>
      </c>
      <c r="E19" s="18">
        <f t="shared" si="5"/>
        <v>0.19</v>
      </c>
      <c r="F19" s="18">
        <f t="shared" si="5"/>
        <v>0</v>
      </c>
      <c r="G19" s="18">
        <f t="shared" si="5"/>
        <v>137.972</v>
      </c>
      <c r="H19" s="18">
        <f t="shared" si="5"/>
        <v>186.53199999999998</v>
      </c>
      <c r="I19" s="18">
        <f t="shared" si="5"/>
        <v>736.736</v>
      </c>
      <c r="J19" s="18">
        <f t="shared" si="5"/>
        <v>208.65599999999998</v>
      </c>
      <c r="K19" s="18">
        <f t="shared" si="5"/>
        <v>84.766</v>
      </c>
      <c r="L19" s="18">
        <f t="shared" si="5"/>
        <v>6.736</v>
      </c>
      <c r="M19" s="18">
        <f t="shared" si="5"/>
        <v>14.929</v>
      </c>
      <c r="N19" s="18">
        <f t="shared" si="5"/>
        <v>0</v>
      </c>
      <c r="O19" s="18">
        <f t="shared" si="5"/>
        <v>106.651</v>
      </c>
      <c r="P19" s="18">
        <f t="shared" si="5"/>
        <v>154.64950000000002</v>
      </c>
      <c r="Q19" s="18">
        <f t="shared" si="5"/>
        <v>14.03</v>
      </c>
      <c r="R19" s="18">
        <f t="shared" si="5"/>
        <v>925.613</v>
      </c>
      <c r="S19" s="18">
        <f t="shared" si="5"/>
        <v>135.615</v>
      </c>
      <c r="T19" s="18">
        <f>SUM(T20:T22)</f>
        <v>438.90299999999996</v>
      </c>
      <c r="U19" s="18">
        <f t="shared" si="5"/>
        <v>97.84</v>
      </c>
      <c r="V19" s="18">
        <f t="shared" si="5"/>
        <v>0</v>
      </c>
      <c r="W19" s="18">
        <f t="shared" si="5"/>
        <v>0</v>
      </c>
      <c r="X19" s="18">
        <f t="shared" si="5"/>
        <v>-1.309</v>
      </c>
      <c r="Y19" s="18">
        <f t="shared" si="5"/>
        <v>0</v>
      </c>
      <c r="Z19" s="18">
        <f>SUM(Z20:Z22)</f>
        <v>0</v>
      </c>
      <c r="AA19" s="18">
        <f t="shared" si="5"/>
        <v>3248.5095</v>
      </c>
      <c r="AB19" s="53">
        <f t="shared" si="4"/>
        <v>-1221.2024999999994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">
      <c r="B20" s="3" t="s">
        <v>3</v>
      </c>
      <c r="C20" s="23">
        <f>2952.794+200</f>
        <v>3152.794</v>
      </c>
      <c r="D20" s="7"/>
      <c r="E20" s="7"/>
      <c r="F20" s="7"/>
      <c r="G20" s="7">
        <v>30.935</v>
      </c>
      <c r="H20" s="7">
        <v>178.357</v>
      </c>
      <c r="I20" s="7">
        <v>703.929</v>
      </c>
      <c r="J20" s="8">
        <v>206.92</v>
      </c>
      <c r="K20" s="7"/>
      <c r="L20" s="7"/>
      <c r="M20" s="7">
        <v>10.967</v>
      </c>
      <c r="N20" s="7"/>
      <c r="O20" s="7"/>
      <c r="P20" s="7"/>
      <c r="Q20" s="7"/>
      <c r="R20" s="7">
        <v>901.623</v>
      </c>
      <c r="S20" s="7">
        <v>123.987</v>
      </c>
      <c r="T20" s="7">
        <v>450.397</v>
      </c>
      <c r="U20" s="7">
        <v>97.66</v>
      </c>
      <c r="V20" s="8"/>
      <c r="W20" s="8"/>
      <c r="X20" s="8"/>
      <c r="Y20" s="7"/>
      <c r="Z20" s="7"/>
      <c r="AA20" s="7">
        <f>SUM(D20:Z20)</f>
        <v>2704.775</v>
      </c>
      <c r="AB20" s="87">
        <f t="shared" si="4"/>
        <v>-448.0189999999998</v>
      </c>
      <c r="AC20" s="85"/>
      <c r="AD20" s="84" t="s">
        <v>48</v>
      </c>
      <c r="AE20" s="86">
        <f>AA19</f>
        <v>3248.5095</v>
      </c>
      <c r="AF20" s="83"/>
      <c r="AG20" s="83"/>
    </row>
    <row r="21" spans="2:33" ht="15">
      <c r="B21" s="3" t="s">
        <v>1</v>
      </c>
      <c r="C21" s="23">
        <v>330.458</v>
      </c>
      <c r="D21" s="7"/>
      <c r="E21" s="7"/>
      <c r="F21" s="7"/>
      <c r="G21" s="7"/>
      <c r="H21" s="7">
        <v>1.908</v>
      </c>
      <c r="I21" s="7">
        <v>13.193</v>
      </c>
      <c r="J21" s="8"/>
      <c r="K21" s="7"/>
      <c r="L21" s="7"/>
      <c r="M21" s="7">
        <v>3.722</v>
      </c>
      <c r="N21" s="7"/>
      <c r="O21" s="7">
        <v>2.285</v>
      </c>
      <c r="P21" s="7">
        <v>0.0165</v>
      </c>
      <c r="Q21" s="7">
        <v>0.51</v>
      </c>
      <c r="R21" s="7"/>
      <c r="S21" s="7"/>
      <c r="T21" s="7">
        <v>-11.73</v>
      </c>
      <c r="U21" s="7"/>
      <c r="V21" s="8"/>
      <c r="W21" s="8"/>
      <c r="X21" s="8"/>
      <c r="Y21" s="7"/>
      <c r="Z21" s="7"/>
      <c r="AA21" s="7">
        <f>SUM(D21:Z21)</f>
        <v>9.904500000000002</v>
      </c>
      <c r="AB21" s="87">
        <f t="shared" si="4"/>
        <v>-320.55350000000004</v>
      </c>
      <c r="AC21" s="85"/>
      <c r="AD21" s="84" t="s">
        <v>15</v>
      </c>
      <c r="AE21" s="86">
        <f>AA23</f>
        <v>12887.067</v>
      </c>
      <c r="AF21" s="83"/>
      <c r="AG21" s="83"/>
    </row>
    <row r="22" spans="2:33" ht="15">
      <c r="B22" s="3" t="s">
        <v>5</v>
      </c>
      <c r="C22" s="23">
        <f>866.46+120</f>
        <v>986.46</v>
      </c>
      <c r="D22" s="7"/>
      <c r="E22" s="7">
        <v>0.19</v>
      </c>
      <c r="F22" s="7"/>
      <c r="G22" s="7">
        <v>107.037</v>
      </c>
      <c r="H22" s="7">
        <v>6.267</v>
      </c>
      <c r="I22" s="7">
        <v>19.614</v>
      </c>
      <c r="J22" s="7">
        <v>1.736</v>
      </c>
      <c r="K22" s="7">
        <v>84.766</v>
      </c>
      <c r="L22" s="7">
        <v>6.736</v>
      </c>
      <c r="M22" s="7">
        <v>0.24</v>
      </c>
      <c r="N22" s="7"/>
      <c r="O22" s="7">
        <v>104.366</v>
      </c>
      <c r="P22" s="7">
        <v>154.633</v>
      </c>
      <c r="Q22" s="7">
        <v>13.52</v>
      </c>
      <c r="R22" s="7">
        <v>23.99</v>
      </c>
      <c r="S22" s="7">
        <v>11.628</v>
      </c>
      <c r="T22" s="7">
        <v>0.236</v>
      </c>
      <c r="U22" s="7">
        <v>0.18</v>
      </c>
      <c r="V22" s="7"/>
      <c r="W22" s="7"/>
      <c r="X22" s="7">
        <v>-1.309</v>
      </c>
      <c r="Y22" s="7"/>
      <c r="Z22" s="7"/>
      <c r="AA22" s="7">
        <f>SUM(D22:Z22)</f>
        <v>533.83</v>
      </c>
      <c r="AB22" s="87">
        <f t="shared" si="4"/>
        <v>-452.63</v>
      </c>
      <c r="AC22" s="85"/>
      <c r="AD22" s="84" t="s">
        <v>52</v>
      </c>
      <c r="AE22" s="86">
        <f>$AA$29+$AA$31</f>
        <v>136.464</v>
      </c>
      <c r="AF22" s="83"/>
      <c r="AG22" s="83"/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20868.03</v>
      </c>
      <c r="D23" s="18">
        <f t="shared" si="6"/>
        <v>0</v>
      </c>
      <c r="E23" s="18">
        <f t="shared" si="6"/>
        <v>92.009</v>
      </c>
      <c r="F23" s="18">
        <f t="shared" si="6"/>
        <v>0</v>
      </c>
      <c r="G23" s="18">
        <f t="shared" si="6"/>
        <v>1051.768</v>
      </c>
      <c r="H23" s="18">
        <f t="shared" si="6"/>
        <v>203.963</v>
      </c>
      <c r="I23" s="18">
        <f t="shared" si="6"/>
        <v>1367.783</v>
      </c>
      <c r="J23" s="18">
        <f t="shared" si="6"/>
        <v>982.135</v>
      </c>
      <c r="K23" s="18">
        <f t="shared" si="6"/>
        <v>45.617999999999995</v>
      </c>
      <c r="L23" s="18">
        <f t="shared" si="6"/>
        <v>0</v>
      </c>
      <c r="M23" s="18">
        <f t="shared" si="6"/>
        <v>254.59199999999998</v>
      </c>
      <c r="N23" s="18">
        <f t="shared" si="6"/>
        <v>0</v>
      </c>
      <c r="O23" s="18">
        <f t="shared" si="6"/>
        <v>1112.5949999999998</v>
      </c>
      <c r="P23" s="18">
        <f t="shared" si="6"/>
        <v>0</v>
      </c>
      <c r="Q23" s="18">
        <f>SUM(Q24:Q28)</f>
        <v>941.113</v>
      </c>
      <c r="R23" s="18">
        <f t="shared" si="6"/>
        <v>1919.925</v>
      </c>
      <c r="S23" s="18">
        <f t="shared" si="6"/>
        <v>4910.118</v>
      </c>
      <c r="T23" s="18">
        <f>SUM(T24:T28)</f>
        <v>1.429</v>
      </c>
      <c r="U23" s="18">
        <f>SUM(U24:U28)</f>
        <v>4.151</v>
      </c>
      <c r="V23" s="18">
        <f t="shared" si="6"/>
        <v>-0.075</v>
      </c>
      <c r="W23" s="18">
        <f t="shared" si="6"/>
        <v>-0.057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12887.067</v>
      </c>
      <c r="AB23" s="87">
        <f t="shared" si="4"/>
        <v>-7980.963</v>
      </c>
      <c r="AC23" s="82"/>
      <c r="AD23" s="84" t="s">
        <v>16</v>
      </c>
      <c r="AE23" s="86">
        <f>$AA$32+$AA$33+$AA$35+$AA$41+$AA$45+$AA$34</f>
        <v>1191.9909999999998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">
      <c r="B24" s="3" t="s">
        <v>3</v>
      </c>
      <c r="C24" s="23">
        <f>16891.885+15.952-139</f>
        <v>16768.837</v>
      </c>
      <c r="D24" s="7"/>
      <c r="E24" s="7">
        <v>6.4</v>
      </c>
      <c r="F24" s="7"/>
      <c r="G24" s="7">
        <f>269.673+669.524+0.876</f>
        <v>940.073</v>
      </c>
      <c r="H24" s="7">
        <v>197.551</v>
      </c>
      <c r="I24" s="7">
        <f>952.135+15.25+289.868</f>
        <v>1257.253</v>
      </c>
      <c r="J24" s="8">
        <f>310.6+435.9</f>
        <v>746.5</v>
      </c>
      <c r="K24" s="7"/>
      <c r="L24" s="7"/>
      <c r="M24" s="7">
        <f>8+16.9</f>
        <v>24.9</v>
      </c>
      <c r="N24" s="7"/>
      <c r="O24" s="7">
        <f>295.78+556.53</f>
        <v>852.31</v>
      </c>
      <c r="P24" s="7"/>
      <c r="Q24" s="7">
        <f>407.727+330.464+4.183</f>
        <v>742.374</v>
      </c>
      <c r="R24" s="25">
        <f>1172.945+651.324+0.797</f>
        <v>1825.0659999999998</v>
      </c>
      <c r="S24" s="7">
        <f>2217.165+45.243+2463.236+8.048</f>
        <v>4733.692</v>
      </c>
      <c r="T24" s="7"/>
      <c r="U24" s="7"/>
      <c r="V24" s="8"/>
      <c r="W24" s="8"/>
      <c r="X24" s="8"/>
      <c r="Y24" s="7"/>
      <c r="Z24" s="7"/>
      <c r="AA24" s="7">
        <f>SUM(D24:Z24)</f>
        <v>11326.118999999999</v>
      </c>
      <c r="AB24" s="87">
        <f t="shared" si="4"/>
        <v>-5442.718000000001</v>
      </c>
      <c r="AC24" s="85"/>
      <c r="AD24" s="84" t="s">
        <v>17</v>
      </c>
      <c r="AE24" s="86">
        <f>$AA$63+$AA$66+AA73</f>
        <v>1759.8120000000001</v>
      </c>
      <c r="AF24" s="83"/>
      <c r="AG24" s="83"/>
    </row>
    <row r="25" spans="2:33" ht="15">
      <c r="B25" s="3" t="s">
        <v>2</v>
      </c>
      <c r="C25" s="23">
        <v>16.518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>
        <v>0.799</v>
      </c>
      <c r="P25" s="7"/>
      <c r="Q25" s="7">
        <v>1.998</v>
      </c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2.797</v>
      </c>
      <c r="AB25" s="87">
        <f t="shared" si="4"/>
        <v>-13.721</v>
      </c>
      <c r="AC25" s="85"/>
      <c r="AD25" s="84" t="s">
        <v>18</v>
      </c>
      <c r="AE25" s="86">
        <f>$AA$52</f>
        <v>600.3</v>
      </c>
      <c r="AF25" s="83"/>
      <c r="AG25" s="83"/>
    </row>
    <row r="26" spans="2:33" ht="15">
      <c r="B26" s="3" t="s">
        <v>0</v>
      </c>
      <c r="C26" s="23">
        <v>822.966</v>
      </c>
      <c r="D26" s="7"/>
      <c r="E26" s="7">
        <v>19.255</v>
      </c>
      <c r="F26" s="7"/>
      <c r="G26" s="7">
        <v>6.104</v>
      </c>
      <c r="H26" s="7"/>
      <c r="I26" s="7">
        <v>52.903</v>
      </c>
      <c r="J26" s="8">
        <v>56.808</v>
      </c>
      <c r="K26" s="7">
        <v>9.106</v>
      </c>
      <c r="L26" s="7"/>
      <c r="M26" s="7">
        <v>110.707</v>
      </c>
      <c r="N26" s="7"/>
      <c r="O26" s="7">
        <v>68.905</v>
      </c>
      <c r="P26" s="7"/>
      <c r="Q26" s="7">
        <v>85.217</v>
      </c>
      <c r="R26" s="25">
        <v>23.506</v>
      </c>
      <c r="S26" s="7">
        <v>67.494</v>
      </c>
      <c r="T26" s="7"/>
      <c r="U26" s="7"/>
      <c r="V26" s="8"/>
      <c r="W26" s="8"/>
      <c r="X26" s="8"/>
      <c r="Y26" s="7"/>
      <c r="Z26" s="7"/>
      <c r="AA26" s="7">
        <f>SUM(D26:Z26)</f>
        <v>500.005</v>
      </c>
      <c r="AB26" s="87">
        <f t="shared" si="4"/>
        <v>-322.961</v>
      </c>
      <c r="AC26" s="85"/>
      <c r="AD26" s="84" t="s">
        <v>19</v>
      </c>
      <c r="AE26" s="86">
        <f>$AA$57</f>
        <v>477.9050000000001</v>
      </c>
      <c r="AF26" s="83"/>
      <c r="AG26" s="83"/>
    </row>
    <row r="27" spans="2:33" ht="15">
      <c r="B27" s="3" t="s">
        <v>1</v>
      </c>
      <c r="C27" s="23">
        <f>984.135+139</f>
        <v>1123.135</v>
      </c>
      <c r="D27" s="7"/>
      <c r="E27" s="7">
        <v>35.234</v>
      </c>
      <c r="F27" s="7"/>
      <c r="G27" s="7">
        <v>40.895</v>
      </c>
      <c r="H27" s="7">
        <v>4.958</v>
      </c>
      <c r="I27" s="7">
        <v>27.627</v>
      </c>
      <c r="J27" s="8">
        <v>144.041</v>
      </c>
      <c r="K27" s="7">
        <v>28.328</v>
      </c>
      <c r="L27" s="7"/>
      <c r="M27" s="7">
        <v>58.375</v>
      </c>
      <c r="N27" s="7"/>
      <c r="O27" s="7">
        <v>96.295</v>
      </c>
      <c r="P27" s="7"/>
      <c r="Q27" s="7">
        <v>68.424</v>
      </c>
      <c r="R27" s="25">
        <v>61.133</v>
      </c>
      <c r="S27" s="7">
        <v>46.703</v>
      </c>
      <c r="T27" s="7">
        <v>-0.172</v>
      </c>
      <c r="U27" s="7"/>
      <c r="V27" s="8">
        <v>-0.075</v>
      </c>
      <c r="W27" s="8">
        <v>-0.057</v>
      </c>
      <c r="X27" s="8"/>
      <c r="Y27" s="7"/>
      <c r="Z27" s="7"/>
      <c r="AA27" s="7">
        <f>SUM(D27:Z27)</f>
        <v>611.709</v>
      </c>
      <c r="AB27" s="87">
        <f t="shared" si="4"/>
        <v>-511.42600000000004</v>
      </c>
      <c r="AC27" s="85"/>
      <c r="AD27" s="84" t="s">
        <v>20</v>
      </c>
      <c r="AE27" s="86">
        <f>$AA$49+$AA$70+$AA$75+$AA$76+$AA$80+$AA$72+$AA$74+$AA$77+$AA$78+$AA$79</f>
        <v>7560.673999999999</v>
      </c>
      <c r="AF27" s="83"/>
      <c r="AG27" s="83"/>
    </row>
    <row r="28" spans="2:33" ht="15">
      <c r="B28" s="3" t="s">
        <v>5</v>
      </c>
      <c r="C28" s="23">
        <f>1705.501+431.073</f>
        <v>2136.574</v>
      </c>
      <c r="D28" s="7"/>
      <c r="E28" s="7">
        <v>31.12</v>
      </c>
      <c r="F28" s="7"/>
      <c r="G28" s="7">
        <v>64.696</v>
      </c>
      <c r="H28" s="7">
        <v>1.454</v>
      </c>
      <c r="I28" s="7">
        <v>30</v>
      </c>
      <c r="J28" s="7">
        <v>34.786</v>
      </c>
      <c r="K28" s="7">
        <f>6.296+1.888</f>
        <v>8.184000000000001</v>
      </c>
      <c r="L28" s="7"/>
      <c r="M28" s="7">
        <v>60.61</v>
      </c>
      <c r="N28" s="7"/>
      <c r="O28" s="7">
        <f>70.116+24.17</f>
        <v>94.286</v>
      </c>
      <c r="P28" s="7"/>
      <c r="Q28" s="7">
        <f>40.85+2.25</f>
        <v>43.1</v>
      </c>
      <c r="R28" s="7">
        <v>10.22</v>
      </c>
      <c r="S28" s="7">
        <f>38.059+24.17</f>
        <v>62.229</v>
      </c>
      <c r="T28" s="7">
        <v>1.601</v>
      </c>
      <c r="U28" s="7">
        <v>4.151</v>
      </c>
      <c r="V28" s="7"/>
      <c r="W28" s="7"/>
      <c r="X28" s="7"/>
      <c r="Y28" s="7"/>
      <c r="Z28" s="7"/>
      <c r="AA28" s="7">
        <f>SUM(D28:Z28)</f>
        <v>446.437</v>
      </c>
      <c r="AB28" s="87">
        <f t="shared" si="4"/>
        <v>-1690.1370000000002</v>
      </c>
      <c r="AC28" s="85"/>
      <c r="AD28" s="83"/>
      <c r="AE28" s="88"/>
      <c r="AF28" s="83"/>
      <c r="AG28" s="83"/>
    </row>
    <row r="29" spans="2:33" ht="27.75">
      <c r="B29" s="13" t="s">
        <v>57</v>
      </c>
      <c r="C29" s="18">
        <f>C30</f>
        <v>665.192</v>
      </c>
      <c r="D29" s="18">
        <f aca="true" t="shared" si="7" ref="D29:AA29">D30</f>
        <v>0</v>
      </c>
      <c r="E29" s="18">
        <f t="shared" si="7"/>
        <v>13.874</v>
      </c>
      <c r="F29" s="18">
        <f t="shared" si="7"/>
        <v>0</v>
      </c>
      <c r="G29" s="18">
        <f t="shared" si="7"/>
        <v>11.45</v>
      </c>
      <c r="H29" s="18">
        <f t="shared" si="7"/>
        <v>3.009</v>
      </c>
      <c r="I29" s="18">
        <f t="shared" si="7"/>
        <v>0</v>
      </c>
      <c r="J29" s="18">
        <f t="shared" si="7"/>
        <v>5.116</v>
      </c>
      <c r="K29" s="18">
        <f t="shared" si="7"/>
        <v>47.414</v>
      </c>
      <c r="L29" s="18">
        <f t="shared" si="7"/>
        <v>0</v>
      </c>
      <c r="M29" s="18">
        <f t="shared" si="7"/>
        <v>0.645</v>
      </c>
      <c r="N29" s="18">
        <f t="shared" si="7"/>
        <v>0</v>
      </c>
      <c r="O29" s="18">
        <f t="shared" si="7"/>
        <v>0</v>
      </c>
      <c r="P29" s="18">
        <f t="shared" si="7"/>
        <v>43.20099999999999</v>
      </c>
      <c r="Q29" s="18">
        <f t="shared" si="7"/>
        <v>0</v>
      </c>
      <c r="R29" s="18">
        <f t="shared" si="7"/>
        <v>0.797</v>
      </c>
      <c r="S29" s="18">
        <f t="shared" si="7"/>
        <v>10.958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136.464</v>
      </c>
      <c r="AB29" s="87">
        <f t="shared" si="4"/>
        <v>-528.7280000000001</v>
      </c>
      <c r="AC29" s="85"/>
      <c r="AD29" s="83"/>
      <c r="AE29" s="88"/>
      <c r="AF29" s="83"/>
      <c r="AG29" s="83"/>
    </row>
    <row r="30" spans="2:31" ht="15">
      <c r="B30" s="55" t="s">
        <v>10</v>
      </c>
      <c r="C30" s="27">
        <f>785.192-120</f>
        <v>665.192</v>
      </c>
      <c r="D30" s="8"/>
      <c r="E30" s="8">
        <v>13.874</v>
      </c>
      <c r="F30" s="8"/>
      <c r="G30" s="8">
        <v>11.45</v>
      </c>
      <c r="H30" s="8">
        <v>3.009</v>
      </c>
      <c r="I30" s="8"/>
      <c r="J30" s="8">
        <v>5.116</v>
      </c>
      <c r="K30" s="8">
        <v>47.414</v>
      </c>
      <c r="L30" s="8"/>
      <c r="M30" s="8">
        <v>0.645</v>
      </c>
      <c r="N30" s="8"/>
      <c r="O30" s="8"/>
      <c r="P30" s="8">
        <f>26.801+16.4</f>
        <v>43.20099999999999</v>
      </c>
      <c r="Q30" s="8"/>
      <c r="R30" s="8">
        <v>0.797</v>
      </c>
      <c r="S30" s="8">
        <v>10.958</v>
      </c>
      <c r="T30" s="8"/>
      <c r="U30" s="8"/>
      <c r="V30" s="8"/>
      <c r="W30" s="8"/>
      <c r="X30" s="8"/>
      <c r="Y30" s="27"/>
      <c r="Z30" s="27"/>
      <c r="AA30" s="7">
        <f>SUM(D30:Z30)</f>
        <v>136.464</v>
      </c>
      <c r="AB30" s="53">
        <f t="shared" si="4"/>
        <v>-528.7280000000001</v>
      </c>
      <c r="AE30" s="80"/>
    </row>
    <row r="31" spans="2:31" ht="42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7.75">
      <c r="A32" s="10" t="s">
        <v>32</v>
      </c>
      <c r="B32" s="13" t="s">
        <v>54</v>
      </c>
      <c r="C32" s="18">
        <v>505.447</v>
      </c>
      <c r="D32" s="18"/>
      <c r="E32" s="18">
        <v>2.265</v>
      </c>
      <c r="F32" s="18"/>
      <c r="G32" s="18">
        <v>2.353</v>
      </c>
      <c r="H32" s="18">
        <v>6</v>
      </c>
      <c r="I32" s="18"/>
      <c r="J32" s="18">
        <f>0.55+20.08</f>
        <v>20.63</v>
      </c>
      <c r="K32" s="18"/>
      <c r="L32" s="18">
        <v>132</v>
      </c>
      <c r="M32" s="18">
        <v>0.245</v>
      </c>
      <c r="N32" s="18"/>
      <c r="O32" s="18">
        <v>1</v>
      </c>
      <c r="P32" s="18">
        <v>8.918</v>
      </c>
      <c r="Q32" s="18"/>
      <c r="R32" s="18"/>
      <c r="S32" s="18">
        <v>0.6</v>
      </c>
      <c r="T32" s="18"/>
      <c r="U32" s="60">
        <v>3.937</v>
      </c>
      <c r="V32" s="60"/>
      <c r="W32" s="60"/>
      <c r="X32" s="18"/>
      <c r="Y32" s="18"/>
      <c r="Z32" s="18"/>
      <c r="AA32" s="18">
        <f>SUM(D32:Z32)</f>
        <v>177.948</v>
      </c>
      <c r="AB32" s="53">
        <f t="shared" si="4"/>
        <v>-327.499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f>532.518-18.545</f>
        <v>513.9730000000001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>
        <v>122.38</v>
      </c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122.38</v>
      </c>
      <c r="AB33" s="53">
        <f t="shared" si="4"/>
        <v>-391.5930000000001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63.352</v>
      </c>
      <c r="D34" s="18"/>
      <c r="E34" s="18"/>
      <c r="F34" s="18"/>
      <c r="G34" s="18">
        <v>30.729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30.729</v>
      </c>
      <c r="AB34" s="53">
        <f t="shared" si="4"/>
        <v>-32.623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677.165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9.276</v>
      </c>
      <c r="I35" s="18">
        <f t="shared" si="8"/>
        <v>0</v>
      </c>
      <c r="J35" s="18">
        <f t="shared" si="8"/>
        <v>152.34099999999998</v>
      </c>
      <c r="K35" s="18">
        <f t="shared" si="8"/>
        <v>0</v>
      </c>
      <c r="L35" s="18">
        <f t="shared" si="8"/>
        <v>3.405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498.277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663.2989999999999</v>
      </c>
      <c r="AB35" s="53">
        <f t="shared" si="4"/>
        <v>-13.8660000000001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f>608.577+28.145</f>
        <v>636.722</v>
      </c>
      <c r="D36" s="7"/>
      <c r="E36" s="7"/>
      <c r="F36" s="7"/>
      <c r="G36" s="7"/>
      <c r="H36" s="7"/>
      <c r="I36" s="7"/>
      <c r="J36" s="8">
        <v>144.801</v>
      </c>
      <c r="K36" s="7"/>
      <c r="L36" s="7"/>
      <c r="M36" s="7"/>
      <c r="N36" s="7"/>
      <c r="O36" s="7"/>
      <c r="P36" s="25"/>
      <c r="Q36" s="7"/>
      <c r="R36" s="25"/>
      <c r="S36" s="7"/>
      <c r="T36" s="7">
        <v>491.916</v>
      </c>
      <c r="U36" s="7"/>
      <c r="V36" s="8"/>
      <c r="W36" s="8"/>
      <c r="X36" s="7"/>
      <c r="Y36" s="7"/>
      <c r="Z36" s="7"/>
      <c r="AA36" s="7">
        <f>SUM(D36:Z36)</f>
        <v>636.717</v>
      </c>
      <c r="AB36" s="53">
        <f t="shared" si="4"/>
        <v>-0.0049999999999954525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2.403</v>
      </c>
      <c r="D37" s="7"/>
      <c r="E37" s="7"/>
      <c r="F37" s="7"/>
      <c r="G37" s="7"/>
      <c r="H37" s="7">
        <v>1.799</v>
      </c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1.799</v>
      </c>
      <c r="AB37" s="53">
        <f t="shared" si="4"/>
        <v>-0.6040000000000001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f>25.245-4.6</f>
        <v>20.645000000000003</v>
      </c>
      <c r="D39" s="7"/>
      <c r="E39" s="7"/>
      <c r="F39" s="7"/>
      <c r="G39" s="7"/>
      <c r="H39" s="7">
        <v>6.501</v>
      </c>
      <c r="I39" s="7"/>
      <c r="J39" s="7">
        <v>1.142</v>
      </c>
      <c r="K39" s="7"/>
      <c r="L39" s="7">
        <v>3.405</v>
      </c>
      <c r="M39" s="7"/>
      <c r="N39" s="7"/>
      <c r="O39" s="7"/>
      <c r="P39" s="25"/>
      <c r="Q39" s="7"/>
      <c r="R39" s="25"/>
      <c r="S39" s="7"/>
      <c r="T39" s="7">
        <v>1.52</v>
      </c>
      <c r="U39" s="7"/>
      <c r="V39" s="8"/>
      <c r="W39" s="8"/>
      <c r="X39" s="7"/>
      <c r="Y39" s="7"/>
      <c r="Z39" s="7"/>
      <c r="AA39" s="7">
        <f>SUM(D39:Z39)</f>
        <v>12.568</v>
      </c>
      <c r="AB39" s="53">
        <f t="shared" si="4"/>
        <v>-8.077000000000004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f>19.095-5</f>
        <v>14.094999999999999</v>
      </c>
      <c r="D40" s="7"/>
      <c r="E40" s="7"/>
      <c r="F40" s="7"/>
      <c r="G40" s="7"/>
      <c r="H40" s="7">
        <v>0.976</v>
      </c>
      <c r="I40" s="7"/>
      <c r="J40" s="7">
        <v>6.398</v>
      </c>
      <c r="K40" s="7"/>
      <c r="L40" s="7"/>
      <c r="M40" s="7"/>
      <c r="N40" s="7"/>
      <c r="O40" s="7"/>
      <c r="P40" s="7"/>
      <c r="Q40" s="7"/>
      <c r="R40" s="7"/>
      <c r="S40" s="7"/>
      <c r="T40" s="7">
        <v>1.541</v>
      </c>
      <c r="U40" s="7"/>
      <c r="V40" s="7"/>
      <c r="W40" s="7"/>
      <c r="X40" s="7"/>
      <c r="Y40" s="7"/>
      <c r="Z40" s="7"/>
      <c r="AA40" s="7">
        <f>SUM(D40:Z40)</f>
        <v>8.915</v>
      </c>
      <c r="AB40" s="53">
        <f t="shared" si="4"/>
        <v>-5.18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257.199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28.407000000000004</v>
      </c>
      <c r="K41" s="18">
        <f t="shared" si="10"/>
        <v>0</v>
      </c>
      <c r="L41" s="18">
        <f t="shared" si="10"/>
        <v>0</v>
      </c>
      <c r="M41" s="18">
        <f t="shared" si="10"/>
        <v>2.396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96.091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126.894</v>
      </c>
      <c r="AB41" s="53">
        <f t="shared" si="4"/>
        <v>-130.305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229.507</v>
      </c>
      <c r="D42" s="7"/>
      <c r="E42" s="7"/>
      <c r="F42" s="7"/>
      <c r="G42" s="7"/>
      <c r="H42" s="7"/>
      <c r="I42" s="7"/>
      <c r="J42" s="8">
        <v>22.856</v>
      </c>
      <c r="K42" s="7"/>
      <c r="L42" s="7"/>
      <c r="M42" s="7"/>
      <c r="N42" s="7"/>
      <c r="O42" s="7"/>
      <c r="P42" s="25"/>
      <c r="Q42" s="7"/>
      <c r="R42" s="25"/>
      <c r="S42" s="7">
        <v>92.452</v>
      </c>
      <c r="T42" s="7"/>
      <c r="U42" s="7"/>
      <c r="V42" s="8"/>
      <c r="W42" s="8"/>
      <c r="X42" s="7"/>
      <c r="Y42" s="7"/>
      <c r="Z42" s="7"/>
      <c r="AA42" s="7">
        <f>SUM(D42:Z42)</f>
        <v>115.30799999999999</v>
      </c>
      <c r="AB42" s="53">
        <f t="shared" si="4"/>
        <v>-114.19900000000001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16.082</v>
      </c>
      <c r="D43" s="7"/>
      <c r="E43" s="7"/>
      <c r="F43" s="7"/>
      <c r="G43" s="7"/>
      <c r="H43" s="7"/>
      <c r="I43" s="7"/>
      <c r="J43" s="8">
        <v>4.335</v>
      </c>
      <c r="K43" s="7"/>
      <c r="L43" s="7"/>
      <c r="M43" s="7">
        <v>1.556</v>
      </c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5.891</v>
      </c>
      <c r="AB43" s="53">
        <f t="shared" si="4"/>
        <v>-10.191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11.61</v>
      </c>
      <c r="D44" s="7"/>
      <c r="E44" s="7"/>
      <c r="F44" s="7"/>
      <c r="G44" s="7"/>
      <c r="H44" s="7"/>
      <c r="I44" s="7"/>
      <c r="J44" s="7">
        <v>1.216</v>
      </c>
      <c r="K44" s="7"/>
      <c r="L44" s="7"/>
      <c r="M44" s="7">
        <v>0.84</v>
      </c>
      <c r="N44" s="7"/>
      <c r="O44" s="7"/>
      <c r="P44" s="7"/>
      <c r="Q44" s="7"/>
      <c r="R44" s="7"/>
      <c r="S44" s="7">
        <v>3.639</v>
      </c>
      <c r="T44" s="7"/>
      <c r="U44" s="7"/>
      <c r="V44" s="7"/>
      <c r="W44" s="7"/>
      <c r="X44" s="7"/>
      <c r="Y44" s="7"/>
      <c r="Z44" s="7"/>
      <c r="AA44" s="7">
        <f>SUM(D44:Z44)</f>
        <v>5.695</v>
      </c>
      <c r="AB44" s="53">
        <f t="shared" si="4"/>
        <v>-5.914999999999999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210.18099999999998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29.964</v>
      </c>
      <c r="H45" s="18">
        <f t="shared" si="12"/>
        <v>0.949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6</v>
      </c>
      <c r="N45" s="18">
        <f t="shared" si="12"/>
        <v>0</v>
      </c>
      <c r="O45" s="18">
        <f t="shared" si="12"/>
        <v>0</v>
      </c>
      <c r="P45" s="18">
        <f t="shared" si="12"/>
        <v>33.828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70.741</v>
      </c>
      <c r="AB45" s="53">
        <f t="shared" si="4"/>
        <v>-139.44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195.587</v>
      </c>
      <c r="D46" s="7"/>
      <c r="E46" s="7"/>
      <c r="F46" s="7"/>
      <c r="G46" s="7">
        <v>29.673</v>
      </c>
      <c r="H46" s="7"/>
      <c r="I46" s="7"/>
      <c r="J46" s="8"/>
      <c r="K46" s="7"/>
      <c r="L46" s="7"/>
      <c r="M46" s="7"/>
      <c r="N46" s="7"/>
      <c r="O46" s="7"/>
      <c r="P46" s="7">
        <v>33.828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63.501000000000005</v>
      </c>
      <c r="AB46" s="53">
        <f t="shared" si="4"/>
        <v>-132.08599999999998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4.95</v>
      </c>
      <c r="D47" s="7"/>
      <c r="E47" s="7"/>
      <c r="F47" s="7"/>
      <c r="G47" s="7"/>
      <c r="H47" s="7">
        <v>0.949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0.949</v>
      </c>
      <c r="AB47" s="53">
        <f t="shared" si="4"/>
        <v>-4.001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9.644</v>
      </c>
      <c r="D48" s="7"/>
      <c r="E48" s="7"/>
      <c r="F48" s="7"/>
      <c r="G48" s="7">
        <v>0.291</v>
      </c>
      <c r="H48" s="7"/>
      <c r="I48" s="7"/>
      <c r="J48" s="7"/>
      <c r="K48" s="7"/>
      <c r="L48" s="7"/>
      <c r="M48" s="7">
        <v>6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6.291</v>
      </c>
      <c r="AB48" s="53">
        <f t="shared" si="4"/>
        <v>-3.3529999999999998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46.072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17.206</v>
      </c>
      <c r="H49" s="18">
        <f t="shared" si="13"/>
        <v>0</v>
      </c>
      <c r="I49" s="18">
        <f t="shared" si="13"/>
        <v>0</v>
      </c>
      <c r="J49" s="18">
        <f t="shared" si="13"/>
        <v>2.8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7.59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27.596</v>
      </c>
      <c r="AB49" s="53">
        <f t="shared" si="4"/>
        <v>-18.476000000000003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v>22.74</v>
      </c>
      <c r="D50" s="8"/>
      <c r="E50" s="8"/>
      <c r="F50" s="8"/>
      <c r="G50" s="8"/>
      <c r="H50" s="8"/>
      <c r="I50" s="8"/>
      <c r="J50" s="8">
        <v>2.8</v>
      </c>
      <c r="K50" s="8"/>
      <c r="L50" s="8"/>
      <c r="M50" s="8"/>
      <c r="N50" s="8"/>
      <c r="O50" s="8"/>
      <c r="P50" s="8"/>
      <c r="Q50" s="8"/>
      <c r="R50" s="8"/>
      <c r="S50" s="8"/>
      <c r="T50" s="8">
        <v>7.59</v>
      </c>
      <c r="U50" s="8"/>
      <c r="V50" s="8"/>
      <c r="W50" s="8"/>
      <c r="X50" s="8"/>
      <c r="Y50" s="8"/>
      <c r="Z50" s="8"/>
      <c r="AA50" s="7">
        <f>SUM(D50:Z50)</f>
        <v>10.39</v>
      </c>
      <c r="AB50" s="53">
        <f t="shared" si="4"/>
        <v>-12.349999999999998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23.332</v>
      </c>
      <c r="D51" s="8"/>
      <c r="E51" s="8"/>
      <c r="F51" s="8"/>
      <c r="G51" s="8">
        <v>17.206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17.206</v>
      </c>
      <c r="AB51" s="53">
        <f t="shared" si="4"/>
        <v>-6.126000000000001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950.549</v>
      </c>
      <c r="D52" s="18">
        <f t="shared" si="14"/>
        <v>0.9</v>
      </c>
      <c r="E52" s="18">
        <f t="shared" si="14"/>
        <v>0.06</v>
      </c>
      <c r="F52" s="18">
        <f t="shared" si="14"/>
        <v>0</v>
      </c>
      <c r="G52" s="18">
        <f t="shared" si="14"/>
        <v>2.3</v>
      </c>
      <c r="H52" s="18">
        <f t="shared" si="14"/>
        <v>0</v>
      </c>
      <c r="I52" s="18">
        <f t="shared" si="14"/>
        <v>171.784</v>
      </c>
      <c r="J52" s="18">
        <f t="shared" si="14"/>
        <v>8.071</v>
      </c>
      <c r="K52" s="18">
        <f t="shared" si="14"/>
        <v>0</v>
      </c>
      <c r="L52" s="18">
        <f t="shared" si="14"/>
        <v>3.7</v>
      </c>
      <c r="M52" s="18">
        <f t="shared" si="14"/>
        <v>0</v>
      </c>
      <c r="N52" s="18">
        <f t="shared" si="14"/>
        <v>0</v>
      </c>
      <c r="O52" s="18">
        <f t="shared" si="14"/>
        <v>74.109</v>
      </c>
      <c r="P52" s="18">
        <f t="shared" si="14"/>
        <v>25.5</v>
      </c>
      <c r="Q52" s="18">
        <f t="shared" si="14"/>
        <v>8.5</v>
      </c>
      <c r="R52" s="18">
        <f t="shared" si="14"/>
        <v>144.519</v>
      </c>
      <c r="S52" s="18">
        <f t="shared" si="14"/>
        <v>160.857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600.3</v>
      </c>
      <c r="AB52" s="53">
        <f t="shared" si="4"/>
        <v>-350.249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563.959</v>
      </c>
      <c r="D53" s="7"/>
      <c r="E53" s="7"/>
      <c r="F53" s="7"/>
      <c r="G53" s="7"/>
      <c r="H53" s="7"/>
      <c r="I53" s="7">
        <v>137.302</v>
      </c>
      <c r="J53" s="8"/>
      <c r="K53" s="7"/>
      <c r="L53" s="7"/>
      <c r="M53" s="7"/>
      <c r="N53" s="7"/>
      <c r="O53" s="7"/>
      <c r="P53" s="25"/>
      <c r="Q53" s="7"/>
      <c r="R53" s="25">
        <v>144.519</v>
      </c>
      <c r="S53" s="7">
        <v>160.754</v>
      </c>
      <c r="T53" s="7"/>
      <c r="U53" s="7"/>
      <c r="V53" s="8"/>
      <c r="W53" s="8"/>
      <c r="X53" s="8"/>
      <c r="Y53" s="7"/>
      <c r="Z53" s="7"/>
      <c r="AA53" s="7">
        <f>SUM(D53:Z53)</f>
        <v>442.57500000000005</v>
      </c>
      <c r="AB53" s="53">
        <f t="shared" si="4"/>
        <v>-121.3839999999999</v>
      </c>
    </row>
    <row r="54" spans="2:28" ht="15">
      <c r="B54" s="3" t="s">
        <v>1</v>
      </c>
      <c r="C54" s="23">
        <f>93.804+0.3</f>
        <v>94.104</v>
      </c>
      <c r="D54" s="7"/>
      <c r="E54" s="7"/>
      <c r="F54" s="7"/>
      <c r="G54" s="7"/>
      <c r="H54" s="7"/>
      <c r="I54" s="7">
        <v>11.346</v>
      </c>
      <c r="J54" s="8">
        <v>8.071</v>
      </c>
      <c r="K54" s="7"/>
      <c r="L54" s="7"/>
      <c r="M54" s="7"/>
      <c r="N54" s="7"/>
      <c r="O54" s="7">
        <v>3.887</v>
      </c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23.304000000000002</v>
      </c>
      <c r="AB54" s="53">
        <f t="shared" si="4"/>
        <v>-70.8</v>
      </c>
    </row>
    <row r="55" spans="2:28" ht="1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">
      <c r="B56" s="3" t="s">
        <v>5</v>
      </c>
      <c r="C56" s="23">
        <f>286.166-0.3</f>
        <v>285.866</v>
      </c>
      <c r="D56" s="7">
        <v>0.9</v>
      </c>
      <c r="E56" s="7">
        <v>0.06</v>
      </c>
      <c r="F56" s="7"/>
      <c r="G56" s="7">
        <v>2.3</v>
      </c>
      <c r="H56" s="7"/>
      <c r="I56" s="7">
        <v>23.136</v>
      </c>
      <c r="J56" s="7"/>
      <c r="K56" s="7"/>
      <c r="L56" s="7">
        <v>3.7</v>
      </c>
      <c r="M56" s="7"/>
      <c r="N56" s="7"/>
      <c r="O56" s="7">
        <v>70.222</v>
      </c>
      <c r="P56" s="7">
        <v>25.5</v>
      </c>
      <c r="Q56" s="7">
        <v>8.5</v>
      </c>
      <c r="R56" s="7"/>
      <c r="S56" s="7">
        <v>0.103</v>
      </c>
      <c r="T56" s="7"/>
      <c r="U56" s="7"/>
      <c r="V56" s="7"/>
      <c r="W56" s="7"/>
      <c r="X56" s="7"/>
      <c r="Y56" s="7"/>
      <c r="Z56" s="7"/>
      <c r="AA56" s="7">
        <f>SUM(D56:Z56)</f>
        <v>134.421</v>
      </c>
      <c r="AB56" s="53">
        <f t="shared" si="4"/>
        <v>-151.445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760.954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7.907</v>
      </c>
      <c r="H57" s="18">
        <f t="shared" si="15"/>
        <v>0</v>
      </c>
      <c r="I57" s="18">
        <f t="shared" si="15"/>
        <v>111.444</v>
      </c>
      <c r="J57" s="18">
        <f t="shared" si="15"/>
        <v>14.003</v>
      </c>
      <c r="K57" s="18">
        <f t="shared" si="15"/>
        <v>0</v>
      </c>
      <c r="L57" s="18">
        <f t="shared" si="15"/>
        <v>0</v>
      </c>
      <c r="M57" s="18">
        <f t="shared" si="15"/>
        <v>8.14</v>
      </c>
      <c r="N57" s="18">
        <f t="shared" si="15"/>
        <v>0</v>
      </c>
      <c r="O57" s="18">
        <f t="shared" si="15"/>
        <v>18.855</v>
      </c>
      <c r="P57" s="18">
        <f t="shared" si="15"/>
        <v>0</v>
      </c>
      <c r="Q57" s="18">
        <f t="shared" si="15"/>
        <v>14.895</v>
      </c>
      <c r="R57" s="18">
        <f t="shared" si="15"/>
        <v>13.436</v>
      </c>
      <c r="S57" s="18">
        <f t="shared" si="15"/>
        <v>0</v>
      </c>
      <c r="T57" s="18">
        <f>SUM(T58:T62)</f>
        <v>271.74500000000006</v>
      </c>
      <c r="U57" s="18">
        <f>SUM(U58:U62)</f>
        <v>17.48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477.9050000000001</v>
      </c>
      <c r="AB57" s="53">
        <f t="shared" si="4"/>
        <v>-283.04899999999986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442.07</v>
      </c>
      <c r="D58" s="7"/>
      <c r="E58" s="7"/>
      <c r="F58" s="7"/>
      <c r="G58" s="7"/>
      <c r="H58" s="7"/>
      <c r="I58" s="7">
        <v>97.07</v>
      </c>
      <c r="J58" s="25"/>
      <c r="K58" s="7"/>
      <c r="L58" s="7"/>
      <c r="M58" s="7"/>
      <c r="N58" s="7"/>
      <c r="O58" s="7"/>
      <c r="P58" s="25"/>
      <c r="Q58" s="7"/>
      <c r="R58" s="25"/>
      <c r="S58" s="7"/>
      <c r="T58" s="7">
        <v>258.713</v>
      </c>
      <c r="U58" s="7">
        <v>17.48</v>
      </c>
      <c r="V58" s="8"/>
      <c r="W58" s="8"/>
      <c r="X58" s="7"/>
      <c r="Y58" s="7"/>
      <c r="Z58" s="7"/>
      <c r="AA58" s="7">
        <f>SUM(D58:Z58)</f>
        <v>373.26300000000003</v>
      </c>
      <c r="AB58" s="53">
        <f t="shared" si="4"/>
        <v>-68.80699999999996</v>
      </c>
    </row>
    <row r="59" spans="2:28" ht="1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>
        <v>0.5</v>
      </c>
      <c r="U59" s="7"/>
      <c r="V59" s="8"/>
      <c r="W59" s="8"/>
      <c r="X59" s="7"/>
      <c r="Y59" s="7"/>
      <c r="Z59" s="7"/>
      <c r="AA59" s="7">
        <f>SUM(D59:Z59)</f>
        <v>0.5</v>
      </c>
      <c r="AB59" s="53">
        <f t="shared" si="4"/>
        <v>0</v>
      </c>
    </row>
    <row r="60" spans="2:28" ht="15">
      <c r="B60" s="3" t="s">
        <v>1</v>
      </c>
      <c r="C60" s="23">
        <v>38.554</v>
      </c>
      <c r="D60" s="7"/>
      <c r="E60" s="7"/>
      <c r="F60" s="7"/>
      <c r="G60" s="7"/>
      <c r="H60" s="7"/>
      <c r="I60" s="7">
        <v>1.385</v>
      </c>
      <c r="J60" s="8"/>
      <c r="K60" s="7"/>
      <c r="L60" s="7"/>
      <c r="M60" s="7">
        <v>4.187</v>
      </c>
      <c r="N60" s="7"/>
      <c r="O60" s="7"/>
      <c r="P60" s="25"/>
      <c r="Q60" s="7"/>
      <c r="R60" s="7"/>
      <c r="S60" s="7"/>
      <c r="T60" s="7">
        <v>0.576</v>
      </c>
      <c r="U60" s="7"/>
      <c r="V60" s="8"/>
      <c r="W60" s="8"/>
      <c r="X60" s="7"/>
      <c r="Y60" s="7"/>
      <c r="Z60" s="7"/>
      <c r="AA60" s="7">
        <f>SUM(D60:Z60)</f>
        <v>6.148</v>
      </c>
      <c r="AB60" s="53">
        <f t="shared" si="4"/>
        <v>-32.406000000000006</v>
      </c>
    </row>
    <row r="61" spans="2:28" ht="15">
      <c r="B61" s="3" t="s">
        <v>10</v>
      </c>
      <c r="C61" s="23">
        <v>61.761</v>
      </c>
      <c r="D61" s="7"/>
      <c r="E61" s="7"/>
      <c r="F61" s="7"/>
      <c r="G61" s="7">
        <v>7.907</v>
      </c>
      <c r="H61" s="7"/>
      <c r="I61" s="7"/>
      <c r="J61" s="8"/>
      <c r="K61" s="7"/>
      <c r="L61" s="7"/>
      <c r="M61" s="7"/>
      <c r="N61" s="7"/>
      <c r="O61" s="7"/>
      <c r="P61" s="7"/>
      <c r="Q61" s="7">
        <v>14.895</v>
      </c>
      <c r="R61" s="7">
        <v>3.536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26.338</v>
      </c>
      <c r="AB61" s="53">
        <f t="shared" si="4"/>
        <v>-35.423</v>
      </c>
    </row>
    <row r="62" spans="2:28" ht="15">
      <c r="B62" s="3" t="s">
        <v>5</v>
      </c>
      <c r="C62" s="23">
        <v>218.069</v>
      </c>
      <c r="D62" s="7"/>
      <c r="E62" s="7"/>
      <c r="F62" s="7"/>
      <c r="G62" s="7"/>
      <c r="H62" s="7"/>
      <c r="I62" s="7">
        <v>12.989</v>
      </c>
      <c r="J62" s="7">
        <v>14.003</v>
      </c>
      <c r="K62" s="7"/>
      <c r="L62" s="7"/>
      <c r="M62" s="7">
        <v>3.953</v>
      </c>
      <c r="N62" s="7"/>
      <c r="O62" s="7">
        <v>18.855</v>
      </c>
      <c r="P62" s="7"/>
      <c r="Q62" s="7"/>
      <c r="R62" s="7">
        <v>9.9</v>
      </c>
      <c r="S62" s="7"/>
      <c r="T62" s="7">
        <v>11.956</v>
      </c>
      <c r="U62" s="7"/>
      <c r="V62" s="7"/>
      <c r="W62" s="7"/>
      <c r="X62" s="7"/>
      <c r="Y62" s="7"/>
      <c r="Z62" s="7"/>
      <c r="AA62" s="7">
        <f>SUM(D62:Z62)</f>
        <v>71.65599999999999</v>
      </c>
      <c r="AB62" s="53">
        <f t="shared" si="4"/>
        <v>-146.413</v>
      </c>
    </row>
    <row r="63" spans="2:28" ht="15">
      <c r="B63" s="13" t="s">
        <v>44</v>
      </c>
      <c r="C63" s="18">
        <f>C64+C65</f>
        <v>4108.48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751.635</v>
      </c>
      <c r="I63" s="18">
        <f t="shared" si="16"/>
        <v>105.297</v>
      </c>
      <c r="J63" s="18">
        <f t="shared" si="16"/>
        <v>103.828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498.567</v>
      </c>
      <c r="P63" s="18">
        <f t="shared" si="16"/>
        <v>0</v>
      </c>
      <c r="Q63" s="18">
        <f t="shared" si="16"/>
        <v>17.281</v>
      </c>
      <c r="R63" s="18">
        <f t="shared" si="16"/>
        <v>0</v>
      </c>
      <c r="S63" s="18">
        <f t="shared" si="16"/>
        <v>0</v>
      </c>
      <c r="T63" s="18">
        <f>T64+T65</f>
        <v>242.824</v>
      </c>
      <c r="U63" s="18">
        <f t="shared" si="16"/>
        <v>0.38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1719.8120000000001</v>
      </c>
      <c r="AB63" s="53">
        <f t="shared" si="4"/>
        <v>-2388.6679999999997</v>
      </c>
    </row>
    <row r="64" spans="2:28" ht="15">
      <c r="B64" s="32" t="s">
        <v>49</v>
      </c>
      <c r="C64" s="27">
        <f>297.858-233</f>
        <v>64.858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-64.858</v>
      </c>
    </row>
    <row r="65" spans="2:28" ht="15">
      <c r="B65" s="32" t="s">
        <v>10</v>
      </c>
      <c r="C65" s="27">
        <v>4043.622</v>
      </c>
      <c r="D65" s="8"/>
      <c r="E65" s="8"/>
      <c r="F65" s="8"/>
      <c r="G65" s="8"/>
      <c r="H65" s="8">
        <v>751.635</v>
      </c>
      <c r="I65" s="8">
        <v>105.297</v>
      </c>
      <c r="J65" s="8">
        <v>103.828</v>
      </c>
      <c r="K65" s="8"/>
      <c r="L65" s="8"/>
      <c r="M65" s="8"/>
      <c r="N65" s="8"/>
      <c r="O65" s="8">
        <v>498.567</v>
      </c>
      <c r="P65" s="8"/>
      <c r="Q65" s="8">
        <v>17.281</v>
      </c>
      <c r="R65" s="8"/>
      <c r="S65" s="8"/>
      <c r="T65" s="8">
        <v>242.824</v>
      </c>
      <c r="U65" s="8">
        <v>0.38</v>
      </c>
      <c r="V65" s="8"/>
      <c r="W65" s="8"/>
      <c r="X65" s="8"/>
      <c r="Y65" s="8"/>
      <c r="Z65" s="8"/>
      <c r="AA65" s="8">
        <f>SUM(D65:Z65)</f>
        <v>1719.8120000000001</v>
      </c>
      <c r="AB65" s="53">
        <f t="shared" si="4"/>
        <v>-2323.8099999999995</v>
      </c>
    </row>
    <row r="66" spans="2:28" ht="15">
      <c r="B66" s="13" t="s">
        <v>63</v>
      </c>
      <c r="C66" s="18">
        <f>C67+C68</f>
        <v>83.954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40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40</v>
      </c>
      <c r="AB66" s="53">
        <f t="shared" si="4"/>
        <v>-43.95399999999999</v>
      </c>
    </row>
    <row r="67" spans="2:28" ht="15">
      <c r="B67" s="3" t="s">
        <v>1</v>
      </c>
      <c r="C67" s="27">
        <v>14.734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-14.734</v>
      </c>
    </row>
    <row r="68" spans="2:28" ht="15">
      <c r="B68" s="3" t="s">
        <v>10</v>
      </c>
      <c r="C68" s="27">
        <v>69.22</v>
      </c>
      <c r="D68" s="8"/>
      <c r="E68" s="8"/>
      <c r="F68" s="8"/>
      <c r="G68" s="8"/>
      <c r="H68" s="8"/>
      <c r="I68" s="8">
        <v>40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40</v>
      </c>
      <c r="AB68" s="53">
        <f t="shared" si="4"/>
        <v>-29.22</v>
      </c>
    </row>
    <row r="69" spans="2:28" ht="45" customHeight="1" hidden="1">
      <c r="B69" s="15" t="s">
        <v>60</v>
      </c>
      <c r="C69" s="18">
        <f>200-200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1038.512</v>
      </c>
      <c r="AB69" s="53">
        <f t="shared" si="4"/>
        <v>1038.512</v>
      </c>
    </row>
    <row r="70" spans="1:29" ht="15">
      <c r="A70" s="10">
        <v>170703</v>
      </c>
      <c r="B70" s="13" t="s">
        <v>45</v>
      </c>
      <c r="C70" s="18">
        <f>C71</f>
        <v>1070.203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20.288</v>
      </c>
      <c r="H70" s="18">
        <f t="shared" si="18"/>
        <v>150.509</v>
      </c>
      <c r="I70" s="18">
        <f t="shared" si="18"/>
        <v>69.991</v>
      </c>
      <c r="J70" s="18">
        <f t="shared" si="18"/>
        <v>0</v>
      </c>
      <c r="K70" s="18">
        <f t="shared" si="18"/>
        <v>0</v>
      </c>
      <c r="L70" s="18">
        <f t="shared" si="18"/>
        <v>54.768</v>
      </c>
      <c r="M70" s="18">
        <f t="shared" si="18"/>
        <v>193.151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335.45</v>
      </c>
      <c r="S70" s="18">
        <f t="shared" si="18"/>
        <v>214.355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1038.512</v>
      </c>
      <c r="AB70" s="53">
        <f t="shared" si="4"/>
        <v>-31.69100000000003</v>
      </c>
      <c r="AC70" s="35"/>
    </row>
    <row r="71" spans="2:40" s="35" customFormat="1" ht="15">
      <c r="B71" s="32" t="s">
        <v>49</v>
      </c>
      <c r="C71" s="27">
        <f>837.203+233</f>
        <v>1070.203</v>
      </c>
      <c r="D71" s="8"/>
      <c r="E71" s="8"/>
      <c r="F71" s="8"/>
      <c r="G71" s="8">
        <v>20.288</v>
      </c>
      <c r="H71" s="8">
        <v>150.509</v>
      </c>
      <c r="I71" s="8">
        <v>69.991</v>
      </c>
      <c r="J71" s="8"/>
      <c r="K71" s="8"/>
      <c r="L71" s="8">
        <v>54.768</v>
      </c>
      <c r="M71" s="8">
        <v>193.151</v>
      </c>
      <c r="N71" s="8"/>
      <c r="O71" s="8"/>
      <c r="P71" s="8"/>
      <c r="Q71" s="8"/>
      <c r="R71" s="8">
        <v>335.45</v>
      </c>
      <c r="S71" s="8">
        <v>214.355</v>
      </c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1038.512</v>
      </c>
      <c r="AB71" s="53">
        <f t="shared" si="4"/>
        <v>-31.69100000000003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">
      <c r="B75" s="15" t="s">
        <v>47</v>
      </c>
      <c r="C75" s="18">
        <v>281.528</v>
      </c>
      <c r="D75" s="18"/>
      <c r="E75" s="18"/>
      <c r="F75" s="18"/>
      <c r="G75" s="18"/>
      <c r="H75" s="18"/>
      <c r="I75" s="18"/>
      <c r="J75" s="18">
        <v>0.373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0.373</v>
      </c>
      <c r="AB75" s="53">
        <f t="shared" si="4"/>
        <v>-281.15500000000003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">
      <c r="A76" s="10">
        <v>250102</v>
      </c>
      <c r="B76" s="13" t="s">
        <v>46</v>
      </c>
      <c r="C76" s="18">
        <v>83.75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-83.75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5.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>
        <v>47.942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47.942</v>
      </c>
      <c r="AB77" s="53">
        <f t="shared" si="4"/>
        <v>0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5.5">
      <c r="B79" s="13" t="s">
        <v>69</v>
      </c>
      <c r="C79" s="18">
        <v>6</v>
      </c>
      <c r="D79" s="18"/>
      <c r="E79" s="18">
        <v>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6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2">
      <c r="B80" s="13" t="s">
        <v>14</v>
      </c>
      <c r="C80" s="18">
        <v>0</v>
      </c>
      <c r="D80" s="18"/>
      <c r="E80" s="18">
        <v>1551.048</v>
      </c>
      <c r="F80" s="18"/>
      <c r="G80" s="18">
        <v>55.092</v>
      </c>
      <c r="H80" s="18"/>
      <c r="I80" s="18">
        <v>48.141</v>
      </c>
      <c r="J80" s="18">
        <v>596.91</v>
      </c>
      <c r="K80" s="18">
        <v>360.094</v>
      </c>
      <c r="L80" s="18">
        <f>8.837+492</f>
        <v>500.837</v>
      </c>
      <c r="M80" s="18"/>
      <c r="N80" s="18"/>
      <c r="O80" s="18">
        <v>647.523</v>
      </c>
      <c r="P80" s="18">
        <v>169.225</v>
      </c>
      <c r="Q80" s="18">
        <v>371.854</v>
      </c>
      <c r="R80" s="18">
        <v>1284.034</v>
      </c>
      <c r="S80" s="18">
        <v>600.644</v>
      </c>
      <c r="T80" s="18">
        <v>115.016</v>
      </c>
      <c r="U80" s="18">
        <v>139.833</v>
      </c>
      <c r="V80" s="18"/>
      <c r="W80" s="18"/>
      <c r="X80" s="18"/>
      <c r="Y80" s="18"/>
      <c r="Z80" s="18"/>
      <c r="AA80" s="18">
        <f t="shared" si="19"/>
        <v>6440.250999999999</v>
      </c>
      <c r="AB80" s="53">
        <f t="shared" si="4"/>
        <v>6440.250999999999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">
      <c r="B81" s="17" t="s">
        <v>7</v>
      </c>
      <c r="C81" s="26">
        <f>SUM(C82:C88)</f>
        <v>35975.543</v>
      </c>
      <c r="D81" s="26">
        <f aca="true" t="shared" si="20" ref="D81:AA81">SUM(D82:D88)</f>
        <v>0.9</v>
      </c>
      <c r="E81" s="26">
        <f t="shared" si="20"/>
        <v>1665.446</v>
      </c>
      <c r="F81" s="26">
        <f t="shared" si="20"/>
        <v>0</v>
      </c>
      <c r="G81" s="26">
        <f t="shared" si="20"/>
        <v>1367.0290000000002</v>
      </c>
      <c r="H81" s="26">
        <f t="shared" si="20"/>
        <v>1311.8729999999998</v>
      </c>
      <c r="I81" s="26">
        <f t="shared" si="20"/>
        <v>2651.176</v>
      </c>
      <c r="J81" s="26">
        <f t="shared" si="20"/>
        <v>2171.2119999999995</v>
      </c>
      <c r="K81" s="26">
        <f t="shared" si="20"/>
        <v>537.8919999999999</v>
      </c>
      <c r="L81" s="26">
        <f t="shared" si="20"/>
        <v>701.4459999999999</v>
      </c>
      <c r="M81" s="26">
        <f t="shared" si="20"/>
        <v>480.09799999999996</v>
      </c>
      <c r="N81" s="26">
        <f t="shared" si="20"/>
        <v>0</v>
      </c>
      <c r="O81" s="26">
        <f t="shared" si="20"/>
        <v>2581.6800000000003</v>
      </c>
      <c r="P81" s="26">
        <f t="shared" si="20"/>
        <v>435.3215</v>
      </c>
      <c r="Q81" s="26">
        <f t="shared" si="20"/>
        <v>1367.673</v>
      </c>
      <c r="R81" s="26">
        <f t="shared" si="20"/>
        <v>4623.773999999999</v>
      </c>
      <c r="S81" s="26">
        <f t="shared" si="20"/>
        <v>6129.238</v>
      </c>
      <c r="T81" s="26">
        <f>SUM(T82:T88)</f>
        <v>1575.7839999999999</v>
      </c>
      <c r="U81" s="26">
        <f t="shared" si="20"/>
        <v>263.621</v>
      </c>
      <c r="V81" s="26">
        <f t="shared" si="20"/>
        <v>-0.075</v>
      </c>
      <c r="W81" s="26">
        <f t="shared" si="20"/>
        <v>-0.057</v>
      </c>
      <c r="X81" s="26">
        <f t="shared" si="20"/>
        <v>-1.309</v>
      </c>
      <c r="Y81" s="26">
        <f t="shared" si="20"/>
        <v>0</v>
      </c>
      <c r="Z81" s="26">
        <f t="shared" si="20"/>
        <v>0</v>
      </c>
      <c r="AA81" s="26">
        <f t="shared" si="20"/>
        <v>28901.2345</v>
      </c>
      <c r="AB81" s="53">
        <f t="shared" si="4"/>
        <v>-7074.308499999999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">
      <c r="A82" s="4"/>
      <c r="B82" s="3" t="s">
        <v>3</v>
      </c>
      <c r="C82" s="23">
        <f aca="true" t="shared" si="21" ref="C82:AA82">C20+C36+C42+C46+C50+C53+C58+C24</f>
        <v>22012.216</v>
      </c>
      <c r="D82" s="23">
        <f t="shared" si="21"/>
        <v>0</v>
      </c>
      <c r="E82" s="23">
        <f t="shared" si="21"/>
        <v>6.4</v>
      </c>
      <c r="F82" s="23">
        <f t="shared" si="21"/>
        <v>0</v>
      </c>
      <c r="G82" s="23">
        <f t="shared" si="21"/>
        <v>1000.6809999999999</v>
      </c>
      <c r="H82" s="23">
        <f t="shared" si="21"/>
        <v>375.908</v>
      </c>
      <c r="I82" s="23">
        <f t="shared" si="21"/>
        <v>2195.554</v>
      </c>
      <c r="J82" s="23">
        <f t="shared" si="21"/>
        <v>1123.877</v>
      </c>
      <c r="K82" s="23">
        <f t="shared" si="21"/>
        <v>0</v>
      </c>
      <c r="L82" s="23">
        <f t="shared" si="21"/>
        <v>0</v>
      </c>
      <c r="M82" s="23">
        <f t="shared" si="21"/>
        <v>35.867</v>
      </c>
      <c r="N82" s="23">
        <f t="shared" si="21"/>
        <v>0</v>
      </c>
      <c r="O82" s="23">
        <f t="shared" si="21"/>
        <v>852.31</v>
      </c>
      <c r="P82" s="23">
        <f t="shared" si="21"/>
        <v>33.828</v>
      </c>
      <c r="Q82" s="23">
        <f t="shared" si="21"/>
        <v>742.374</v>
      </c>
      <c r="R82" s="23">
        <f t="shared" si="21"/>
        <v>2871.2079999999996</v>
      </c>
      <c r="S82" s="23">
        <f t="shared" si="21"/>
        <v>5110.885</v>
      </c>
      <c r="T82" s="23">
        <f t="shared" si="21"/>
        <v>1208.616</v>
      </c>
      <c r="U82" s="23">
        <f t="shared" si="21"/>
        <v>115.14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15672.648</v>
      </c>
      <c r="AB82" s="53">
        <f t="shared" si="4"/>
        <v>-6339.568000000001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2</v>
      </c>
      <c r="C83" s="23">
        <f aca="true" t="shared" si="22" ref="C83:AA83">C25+C37+C59</f>
        <v>19.421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1.799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0.799</v>
      </c>
      <c r="P83" s="23">
        <f t="shared" si="22"/>
        <v>0</v>
      </c>
      <c r="Q83" s="23">
        <f t="shared" si="22"/>
        <v>1.998</v>
      </c>
      <c r="R83" s="23">
        <f t="shared" si="22"/>
        <v>0</v>
      </c>
      <c r="S83" s="23">
        <f t="shared" si="22"/>
        <v>0</v>
      </c>
      <c r="T83" s="23">
        <f t="shared" si="22"/>
        <v>0.5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5.096</v>
      </c>
      <c r="AB83" s="53">
        <f t="shared" si="4"/>
        <v>-14.325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0</v>
      </c>
      <c r="C84" s="23">
        <f aca="true" t="shared" si="23" ref="C84:AA84">C26+C38</f>
        <v>826.266</v>
      </c>
      <c r="D84" s="23">
        <f t="shared" si="23"/>
        <v>0</v>
      </c>
      <c r="E84" s="23">
        <f t="shared" si="23"/>
        <v>19.255</v>
      </c>
      <c r="F84" s="23">
        <f t="shared" si="23"/>
        <v>0</v>
      </c>
      <c r="G84" s="23">
        <f t="shared" si="23"/>
        <v>6.104</v>
      </c>
      <c r="H84" s="23">
        <f t="shared" si="23"/>
        <v>0</v>
      </c>
      <c r="I84" s="23">
        <f t="shared" si="23"/>
        <v>52.903</v>
      </c>
      <c r="J84" s="23">
        <f t="shared" si="23"/>
        <v>56.808</v>
      </c>
      <c r="K84" s="23">
        <f t="shared" si="23"/>
        <v>9.106</v>
      </c>
      <c r="L84" s="23">
        <f t="shared" si="23"/>
        <v>0</v>
      </c>
      <c r="M84" s="23">
        <f t="shared" si="23"/>
        <v>110.707</v>
      </c>
      <c r="N84" s="23">
        <f t="shared" si="23"/>
        <v>0</v>
      </c>
      <c r="O84" s="23">
        <f t="shared" si="23"/>
        <v>68.905</v>
      </c>
      <c r="P84" s="23">
        <f t="shared" si="23"/>
        <v>0</v>
      </c>
      <c r="Q84" s="23">
        <f t="shared" si="23"/>
        <v>85.217</v>
      </c>
      <c r="R84" s="23">
        <f t="shared" si="23"/>
        <v>23.506</v>
      </c>
      <c r="S84" s="23">
        <f t="shared" si="23"/>
        <v>67.494</v>
      </c>
      <c r="T84" s="23">
        <f t="shared" si="23"/>
        <v>3.3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503.305</v>
      </c>
      <c r="AB84" s="53">
        <f t="shared" si="4"/>
        <v>-322.96099999999996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1</v>
      </c>
      <c r="C85" s="23">
        <f aca="true" t="shared" si="24" ref="C85:AA85">C21+C27+C39+C43+C47+C54+C60+C67</f>
        <v>1642.6620000000003</v>
      </c>
      <c r="D85" s="23">
        <f t="shared" si="24"/>
        <v>0</v>
      </c>
      <c r="E85" s="23">
        <f t="shared" si="24"/>
        <v>35.234</v>
      </c>
      <c r="F85" s="23">
        <f t="shared" si="24"/>
        <v>0</v>
      </c>
      <c r="G85" s="23">
        <f t="shared" si="24"/>
        <v>40.895</v>
      </c>
      <c r="H85" s="23">
        <f t="shared" si="24"/>
        <v>14.316</v>
      </c>
      <c r="I85" s="23">
        <f t="shared" si="24"/>
        <v>53.550999999999995</v>
      </c>
      <c r="J85" s="23">
        <f t="shared" si="24"/>
        <v>157.589</v>
      </c>
      <c r="K85" s="23">
        <f t="shared" si="24"/>
        <v>28.328</v>
      </c>
      <c r="L85" s="23">
        <f t="shared" si="24"/>
        <v>3.405</v>
      </c>
      <c r="M85" s="23">
        <f t="shared" si="24"/>
        <v>67.84</v>
      </c>
      <c r="N85" s="23">
        <f t="shared" si="24"/>
        <v>0</v>
      </c>
      <c r="O85" s="23">
        <f t="shared" si="24"/>
        <v>102.467</v>
      </c>
      <c r="P85" s="23">
        <f t="shared" si="24"/>
        <v>0.0165</v>
      </c>
      <c r="Q85" s="23">
        <f t="shared" si="24"/>
        <v>68.93400000000001</v>
      </c>
      <c r="R85" s="23">
        <f t="shared" si="24"/>
        <v>61.133</v>
      </c>
      <c r="S85" s="23">
        <f t="shared" si="24"/>
        <v>46.703</v>
      </c>
      <c r="T85" s="23">
        <f t="shared" si="24"/>
        <v>-9.806000000000001</v>
      </c>
      <c r="U85" s="23">
        <f t="shared" si="24"/>
        <v>0</v>
      </c>
      <c r="V85" s="23">
        <f t="shared" si="24"/>
        <v>-0.075</v>
      </c>
      <c r="W85" s="23">
        <f t="shared" si="24"/>
        <v>-0.057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670.4734999999998</v>
      </c>
      <c r="AB85" s="53">
        <f>AA85-C85</f>
        <v>-972.1885000000004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3" t="s">
        <v>10</v>
      </c>
      <c r="C87" s="23">
        <f>C30+C51+C61+C65+C31+C68+C77+C78+C79</f>
        <v>4917.069</v>
      </c>
      <c r="D87" s="23">
        <f aca="true" t="shared" si="26" ref="D87:AA87">D30+D51+D61+D65+D31+D68+D77+D78+D79</f>
        <v>0</v>
      </c>
      <c r="E87" s="23">
        <f t="shared" si="26"/>
        <v>19.874000000000002</v>
      </c>
      <c r="F87" s="23">
        <f t="shared" si="26"/>
        <v>0</v>
      </c>
      <c r="G87" s="23">
        <f t="shared" si="26"/>
        <v>36.563</v>
      </c>
      <c r="H87" s="23">
        <f t="shared" si="26"/>
        <v>754.644</v>
      </c>
      <c r="I87" s="23">
        <f t="shared" si="26"/>
        <v>145.297</v>
      </c>
      <c r="J87" s="23">
        <f t="shared" si="26"/>
        <v>156.886</v>
      </c>
      <c r="K87" s="23">
        <f t="shared" si="26"/>
        <v>47.414</v>
      </c>
      <c r="L87" s="23">
        <f t="shared" si="26"/>
        <v>0</v>
      </c>
      <c r="M87" s="23">
        <f t="shared" si="26"/>
        <v>0.645</v>
      </c>
      <c r="N87" s="23">
        <f t="shared" si="26"/>
        <v>0</v>
      </c>
      <c r="O87" s="23">
        <f t="shared" si="26"/>
        <v>498.567</v>
      </c>
      <c r="P87" s="23">
        <f t="shared" si="26"/>
        <v>43.20099999999999</v>
      </c>
      <c r="Q87" s="23">
        <f t="shared" si="26"/>
        <v>32.176</v>
      </c>
      <c r="R87" s="23">
        <f t="shared" si="26"/>
        <v>4.333</v>
      </c>
      <c r="S87" s="23">
        <f t="shared" si="26"/>
        <v>10.958</v>
      </c>
      <c r="T87" s="23">
        <f t="shared" si="26"/>
        <v>242.824</v>
      </c>
      <c r="U87" s="23">
        <f t="shared" si="26"/>
        <v>0.38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1993.7620000000002</v>
      </c>
      <c r="AB87" s="53">
        <f>AA87-C87</f>
        <v>-2923.3070000000002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3" t="s">
        <v>5</v>
      </c>
      <c r="C88" s="23">
        <f>C22+C28+C32+C33+C40+C44+C48+C56+C62+C71+C75+C76+C80+C64+C74+C72+C34+C69</f>
        <v>6271.611000000001</v>
      </c>
      <c r="D88" s="23">
        <f aca="true" t="shared" si="27" ref="D88:AA88">D22+D28+D32+D33+D40+D44+D48+D56+D62+D71+D75+D76+D80+D64+D74+D72+D34+D69</f>
        <v>0.9</v>
      </c>
      <c r="E88" s="23">
        <f t="shared" si="27"/>
        <v>1584.683</v>
      </c>
      <c r="F88" s="23">
        <f t="shared" si="27"/>
        <v>0</v>
      </c>
      <c r="G88" s="23">
        <f t="shared" si="27"/>
        <v>282.786</v>
      </c>
      <c r="H88" s="23">
        <f t="shared" si="27"/>
        <v>165.206</v>
      </c>
      <c r="I88" s="23">
        <f t="shared" si="27"/>
        <v>203.871</v>
      </c>
      <c r="J88" s="23">
        <f t="shared" si="27"/>
        <v>676.0519999999999</v>
      </c>
      <c r="K88" s="23">
        <f t="shared" si="27"/>
        <v>453.044</v>
      </c>
      <c r="L88" s="23">
        <f t="shared" si="27"/>
        <v>698.0409999999999</v>
      </c>
      <c r="M88" s="23">
        <f t="shared" si="27"/>
        <v>265.039</v>
      </c>
      <c r="N88" s="23">
        <f t="shared" si="27"/>
        <v>0</v>
      </c>
      <c r="O88" s="23">
        <f t="shared" si="27"/>
        <v>1058.632</v>
      </c>
      <c r="P88" s="23">
        <f t="shared" si="27"/>
        <v>358.276</v>
      </c>
      <c r="Q88" s="23">
        <f t="shared" si="27"/>
        <v>436.974</v>
      </c>
      <c r="R88" s="23">
        <f t="shared" si="27"/>
        <v>1663.594</v>
      </c>
      <c r="S88" s="23">
        <f t="shared" si="27"/>
        <v>893.198</v>
      </c>
      <c r="T88" s="23">
        <f t="shared" si="27"/>
        <v>130.35</v>
      </c>
      <c r="U88" s="23">
        <f t="shared" si="27"/>
        <v>148.101</v>
      </c>
      <c r="V88" s="23">
        <f t="shared" si="27"/>
        <v>0</v>
      </c>
      <c r="W88" s="23">
        <f t="shared" si="27"/>
        <v>0</v>
      </c>
      <c r="X88" s="23">
        <f t="shared" si="27"/>
        <v>-1.309</v>
      </c>
      <c r="Y88" s="23">
        <f t="shared" si="27"/>
        <v>0</v>
      </c>
      <c r="Z88" s="23">
        <f t="shared" si="27"/>
        <v>0</v>
      </c>
      <c r="AA88" s="23">
        <f t="shared" si="27"/>
        <v>10055.949999999999</v>
      </c>
      <c r="AB88" s="53">
        <f>AA88-C88</f>
        <v>3784.338999999998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zoomScale="85" zoomScaleNormal="85" zoomScaleSheetLayoutView="55" workbookViewId="0" topLeftCell="B1">
      <pane xSplit="4740" ySplit="2712" topLeftCell="D11" activePane="bottomRight" state="split"/>
      <selection pane="topLeft" activeCell="P84" sqref="P84"/>
      <selection pane="topRight" activeCell="T38" sqref="T38"/>
      <selection pane="bottomLeft" activeCell="B81" sqref="B81"/>
      <selection pane="bottomRight" activeCell="D81" sqref="D81"/>
    </sheetView>
  </sheetViews>
  <sheetFormatPr defaultColWidth="8.50390625" defaultRowHeight="12.75"/>
  <cols>
    <col min="1" max="1" width="5.00390625" style="4" hidden="1" customWidth="1"/>
    <col min="2" max="2" width="37.625" style="4" customWidth="1"/>
    <col min="3" max="3" width="11.50390625" style="4" customWidth="1"/>
    <col min="4" max="13" width="8.625" style="4" customWidth="1"/>
    <col min="14" max="14" width="8.625" style="4" hidden="1" customWidth="1"/>
    <col min="15" max="24" width="8.625" style="4" customWidth="1"/>
    <col min="25" max="26" width="7.50390625" style="4" hidden="1" customWidth="1"/>
    <col min="27" max="27" width="17.50390625" style="4" customWidth="1"/>
    <col min="28" max="28" width="23.50390625" style="51" customWidth="1"/>
    <col min="29" max="29" width="9.50390625" style="4" customWidth="1"/>
    <col min="30" max="30" width="9.50390625" style="44" customWidth="1"/>
    <col min="31" max="31" width="14.50390625" style="44" customWidth="1"/>
    <col min="32" max="32" width="9.50390625" style="44" customWidth="1"/>
    <col min="33" max="40" width="9.50390625" style="34" customWidth="1"/>
    <col min="41" max="16384" width="8.50390625" style="4" customWidth="1"/>
  </cols>
  <sheetData>
    <row r="3" spans="2:40" s="10" customFormat="1" ht="17.25">
      <c r="B3" s="89" t="s">
        <v>71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">
      <c r="B4" s="4" t="s">
        <v>56</v>
      </c>
      <c r="AA4" s="16" t="s">
        <v>13</v>
      </c>
    </row>
    <row r="5" spans="2:27" ht="69">
      <c r="B5" s="5" t="s">
        <v>6</v>
      </c>
      <c r="C5" s="28" t="s">
        <v>21</v>
      </c>
      <c r="D5" s="2">
        <v>3</v>
      </c>
      <c r="E5" s="5">
        <v>4</v>
      </c>
      <c r="F5" s="5">
        <v>5</v>
      </c>
      <c r="G5" s="5">
        <v>6</v>
      </c>
      <c r="H5" s="5">
        <v>7</v>
      </c>
      <c r="I5" s="5">
        <v>10</v>
      </c>
      <c r="J5" s="6">
        <v>11</v>
      </c>
      <c r="K5" s="5">
        <v>12</v>
      </c>
      <c r="L5" s="5">
        <v>13</v>
      </c>
      <c r="M5" s="5">
        <v>14</v>
      </c>
      <c r="N5" s="5">
        <v>18</v>
      </c>
      <c r="O5" s="5">
        <v>18</v>
      </c>
      <c r="P5" s="5">
        <v>19</v>
      </c>
      <c r="Q5" s="5">
        <v>20</v>
      </c>
      <c r="R5" s="5">
        <v>21</v>
      </c>
      <c r="S5" s="5">
        <v>24</v>
      </c>
      <c r="T5" s="5">
        <v>25</v>
      </c>
      <c r="U5" s="5">
        <v>26</v>
      </c>
      <c r="V5" s="6">
        <v>27</v>
      </c>
      <c r="W5" s="5"/>
      <c r="X5" s="6"/>
      <c r="Y5" s="6"/>
      <c r="Z5" s="6"/>
      <c r="AA5" s="2" t="s">
        <v>4</v>
      </c>
    </row>
    <row r="6" spans="2:27" ht="27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">
      <c r="B7" s="49" t="s">
        <v>38</v>
      </c>
      <c r="C7" s="21">
        <f>SUM(D7:Y7)</f>
        <v>0</v>
      </c>
      <c r="D7" s="1"/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">
      <c r="B8" s="38" t="s">
        <v>26</v>
      </c>
      <c r="C8" s="54">
        <f aca="true" t="shared" si="0" ref="C8:C16">SUM(D8:Z8)</f>
        <v>0</v>
      </c>
      <c r="D8" s="37">
        <f aca="true" t="shared" si="1" ref="D8:Y8">SUM(D9:D16)</f>
        <v>0</v>
      </c>
      <c r="E8" s="37">
        <f t="shared" si="1"/>
        <v>0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">
      <c r="B9" s="39" t="s">
        <v>27</v>
      </c>
      <c r="C9" s="47">
        <f t="shared" si="0"/>
        <v>0</v>
      </c>
      <c r="D9" s="4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0</v>
      </c>
      <c r="D11" s="4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">
      <c r="B12" s="39" t="s">
        <v>24</v>
      </c>
      <c r="C12" s="47">
        <f t="shared" si="0"/>
        <v>0</v>
      </c>
      <c r="D12" s="4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">
      <c r="B13" s="39" t="s">
        <v>22</v>
      </c>
      <c r="C13" s="47">
        <f t="shared" si="0"/>
        <v>0</v>
      </c>
      <c r="D13" s="4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8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">
      <c r="B14" s="39" t="s">
        <v>25</v>
      </c>
      <c r="C14" s="47">
        <f t="shared" si="0"/>
        <v>0</v>
      </c>
      <c r="D14" s="4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0</v>
      </c>
      <c r="D15" s="4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0</v>
      </c>
      <c r="D16" s="40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0</v>
      </c>
      <c r="D17" s="22">
        <f>SUM(D6:D8)</f>
        <v>0</v>
      </c>
      <c r="E17" s="22">
        <f aca="true" t="shared" si="2" ref="E17:Y17">SUM(E6:E8)</f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">
      <c r="B18" s="14" t="s">
        <v>12</v>
      </c>
      <c r="C18" s="24">
        <f>C19+C23+C29+C32+C33+C34+C35+C41+C45+C49+C52+C57+C63+C70+C75+C76+C80+C31+C66+C74+C72+C73+C77+C78+C79+C69</f>
        <v>39638.714510000005</v>
      </c>
      <c r="D18" s="24">
        <f aca="true" t="shared" si="3" ref="D18:AA18">D19+D23+D29+D32+D33+D34+D35+D41+D45+D49+D52+D57+D63+D70+D75+D76+D80+D31+D66+D74+D72+D73+D77+D78+D79+D69</f>
        <v>457.673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457.673</v>
      </c>
      <c r="AB18" s="53">
        <f aca="true" t="shared" si="4" ref="AB18:AB84">AA18-C18</f>
        <v>-39181.04151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">
      <c r="A19" s="10">
        <v>10116</v>
      </c>
      <c r="B19" s="13" t="s">
        <v>40</v>
      </c>
      <c r="C19" s="18">
        <f aca="true" t="shared" si="5" ref="C19:AA19">SUM(C20:C22)</f>
        <v>4585.458</v>
      </c>
      <c r="D19" s="18">
        <f t="shared" si="5"/>
        <v>6.2700000000000005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6.2700000000000005</v>
      </c>
      <c r="AB19" s="53">
        <f t="shared" si="4"/>
        <v>-4579.187999999999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">
      <c r="B20" s="3" t="s">
        <v>3</v>
      </c>
      <c r="C20" s="23">
        <v>3350.649</v>
      </c>
      <c r="D20" s="7">
        <v>6.08</v>
      </c>
      <c r="E20" s="7"/>
      <c r="F20" s="7"/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6.08</v>
      </c>
      <c r="AB20" s="87">
        <f t="shared" si="4"/>
        <v>-3344.569</v>
      </c>
      <c r="AC20" s="85"/>
      <c r="AD20" s="84" t="s">
        <v>48</v>
      </c>
      <c r="AE20" s="86">
        <f>AA19</f>
        <v>6.2700000000000005</v>
      </c>
      <c r="AF20" s="83"/>
      <c r="AG20" s="83"/>
    </row>
    <row r="21" spans="2:33" ht="15">
      <c r="B21" s="3" t="s">
        <v>1</v>
      </c>
      <c r="C21" s="23">
        <v>345.194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0</v>
      </c>
      <c r="AB21" s="87">
        <f t="shared" si="4"/>
        <v>-345.194</v>
      </c>
      <c r="AC21" s="85"/>
      <c r="AD21" s="84" t="s">
        <v>15</v>
      </c>
      <c r="AE21" s="86">
        <f>AA23</f>
        <v>0</v>
      </c>
      <c r="AF21" s="83"/>
      <c r="AG21" s="83"/>
    </row>
    <row r="22" spans="2:33" ht="15">
      <c r="B22" s="3" t="s">
        <v>5</v>
      </c>
      <c r="C22" s="23">
        <v>889.615</v>
      </c>
      <c r="D22" s="7">
        <v>0.19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0.19</v>
      </c>
      <c r="AB22" s="87">
        <f t="shared" si="4"/>
        <v>-889.425</v>
      </c>
      <c r="AC22" s="85"/>
      <c r="AD22" s="84" t="s">
        <v>52</v>
      </c>
      <c r="AE22" s="86">
        <f>$AA$29+$AA$31</f>
        <v>0</v>
      </c>
      <c r="AF22" s="83"/>
      <c r="AG22" s="83"/>
    </row>
    <row r="23" spans="1:40" s="10" customFormat="1" ht="15">
      <c r="A23" s="10">
        <v>7000</v>
      </c>
      <c r="B23" s="13" t="s">
        <v>33</v>
      </c>
      <c r="C23" s="18">
        <f aca="true" t="shared" si="6" ref="C23:AA23">SUM(C24:C28)</f>
        <v>24197.403000000002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>SUM(Q24:Q28)</f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0</v>
      </c>
      <c r="AB23" s="87">
        <f t="shared" si="4"/>
        <v>-24197.403000000002</v>
      </c>
      <c r="AC23" s="82"/>
      <c r="AD23" s="84" t="s">
        <v>16</v>
      </c>
      <c r="AE23" s="86">
        <f>$AA$32+$AA$33+$AA$35+$AA$41+$AA$45+$AA$34</f>
        <v>0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">
      <c r="B24" s="3" t="s">
        <v>3</v>
      </c>
      <c r="C24" s="23">
        <v>20652.922</v>
      </c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0</v>
      </c>
      <c r="AB24" s="87">
        <f t="shared" si="4"/>
        <v>-20652.922</v>
      </c>
      <c r="AC24" s="85"/>
      <c r="AD24" s="84" t="s">
        <v>17</v>
      </c>
      <c r="AE24" s="86">
        <f>$AA$63+$AA$66+AA73</f>
        <v>0</v>
      </c>
      <c r="AF24" s="83"/>
      <c r="AG24" s="83"/>
    </row>
    <row r="25" spans="2:33" ht="15">
      <c r="B25" s="3" t="s">
        <v>2</v>
      </c>
      <c r="C25" s="23">
        <v>16.722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87">
        <f t="shared" si="4"/>
        <v>-16.722</v>
      </c>
      <c r="AC25" s="85"/>
      <c r="AD25" s="84" t="s">
        <v>18</v>
      </c>
      <c r="AE25" s="86">
        <f>$AA$52</f>
        <v>0</v>
      </c>
      <c r="AF25" s="83"/>
      <c r="AG25" s="83"/>
    </row>
    <row r="26" spans="2:33" ht="15">
      <c r="B26" s="3" t="s">
        <v>0</v>
      </c>
      <c r="C26" s="23">
        <v>723.161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0</v>
      </c>
      <c r="AB26" s="87">
        <f t="shared" si="4"/>
        <v>-723.161</v>
      </c>
      <c r="AC26" s="85"/>
      <c r="AD26" s="84" t="s">
        <v>19</v>
      </c>
      <c r="AE26" s="86">
        <f>$AA$57</f>
        <v>0</v>
      </c>
      <c r="AF26" s="83"/>
      <c r="AG26" s="83"/>
    </row>
    <row r="27" spans="2:33" ht="15">
      <c r="B27" s="3" t="s">
        <v>1</v>
      </c>
      <c r="C27" s="23">
        <v>648.06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0</v>
      </c>
      <c r="AB27" s="87">
        <f t="shared" si="4"/>
        <v>-648.06</v>
      </c>
      <c r="AC27" s="85"/>
      <c r="AD27" s="84" t="s">
        <v>20</v>
      </c>
      <c r="AE27" s="86">
        <f>$AA$49+$AA$70+$AA$75+$AA$76+$AA$80+$AA$72+$AA$74+$AA$77+$AA$78+$AA$79</f>
        <v>451.403</v>
      </c>
      <c r="AF27" s="83"/>
      <c r="AG27" s="83"/>
    </row>
    <row r="28" spans="2:33" ht="15">
      <c r="B28" s="3" t="s">
        <v>5</v>
      </c>
      <c r="C28" s="23">
        <v>2156.538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0</v>
      </c>
      <c r="AB28" s="87">
        <f t="shared" si="4"/>
        <v>-2156.538</v>
      </c>
      <c r="AC28" s="85"/>
      <c r="AD28" s="83"/>
      <c r="AE28" s="88"/>
      <c r="AF28" s="83"/>
      <c r="AG28" s="83"/>
    </row>
    <row r="29" spans="2:33" ht="27.75">
      <c r="B29" s="13" t="s">
        <v>57</v>
      </c>
      <c r="C29" s="18">
        <f>C30</f>
        <v>548.729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87">
        <f t="shared" si="4"/>
        <v>-548.729</v>
      </c>
      <c r="AC29" s="85"/>
      <c r="AD29" s="83"/>
      <c r="AE29" s="88"/>
      <c r="AF29" s="83"/>
      <c r="AG29" s="83"/>
    </row>
    <row r="30" spans="2:31" ht="15">
      <c r="B30" s="55" t="s">
        <v>10</v>
      </c>
      <c r="C30" s="27">
        <v>548.729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0</v>
      </c>
      <c r="AB30" s="53">
        <f t="shared" si="4"/>
        <v>-548.729</v>
      </c>
      <c r="AE30" s="80"/>
    </row>
    <row r="31" spans="2:31" ht="42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7.75">
      <c r="A32" s="10" t="s">
        <v>32</v>
      </c>
      <c r="B32" s="13" t="s">
        <v>54</v>
      </c>
      <c r="C32" s="18">
        <v>752.902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0</v>
      </c>
      <c r="AB32" s="53">
        <f t="shared" si="4"/>
        <v>-752.902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2">
      <c r="B33" s="13" t="s">
        <v>41</v>
      </c>
      <c r="C33" s="18">
        <v>611.593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-611.593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42">
      <c r="B34" s="13" t="s">
        <v>53</v>
      </c>
      <c r="C34" s="18">
        <v>67.622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-67.622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">
      <c r="B35" s="13" t="s">
        <v>34</v>
      </c>
      <c r="C35" s="18">
        <f>SUM(C36:C40)</f>
        <v>584.766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0</v>
      </c>
      <c r="AB35" s="53">
        <f t="shared" si="4"/>
        <v>-584.766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">
      <c r="B36" s="3" t="s">
        <v>3</v>
      </c>
      <c r="C36" s="23">
        <v>549.904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-549.904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">
      <c r="B37" s="3" t="s">
        <v>2</v>
      </c>
      <c r="C37" s="23">
        <v>2.405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-2.405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">
      <c r="B39" s="3" t="s">
        <v>1</v>
      </c>
      <c r="C39" s="23">
        <v>14.046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0</v>
      </c>
      <c r="AB39" s="53">
        <f t="shared" si="4"/>
        <v>-14.046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">
      <c r="B40" s="3" t="s">
        <v>5</v>
      </c>
      <c r="C40" s="23">
        <v>15.111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0</v>
      </c>
      <c r="AB40" s="53">
        <f t="shared" si="4"/>
        <v>-15.111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">
      <c r="B41" s="13" t="s">
        <v>35</v>
      </c>
      <c r="C41" s="18">
        <f aca="true" t="shared" si="10" ref="C41:S41">SUM(C42:C44)</f>
        <v>271.004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0</v>
      </c>
      <c r="AB41" s="53">
        <f t="shared" si="4"/>
        <v>-271.004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">
      <c r="B42" s="3" t="s">
        <v>3</v>
      </c>
      <c r="C42" s="23">
        <v>248.599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-248.599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">
      <c r="B43" s="3" t="s">
        <v>1</v>
      </c>
      <c r="C43" s="23">
        <v>11.99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0</v>
      </c>
      <c r="AB43" s="53">
        <f t="shared" si="4"/>
        <v>-11.99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">
      <c r="B44" s="3" t="s">
        <v>5</v>
      </c>
      <c r="C44" s="23">
        <v>10.415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0</v>
      </c>
      <c r="AB44" s="53">
        <f t="shared" si="4"/>
        <v>-10.415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">
      <c r="B45" s="13" t="s">
        <v>42</v>
      </c>
      <c r="C45" s="18">
        <f aca="true" t="shared" si="12" ref="C45:Y45">SUM(C46:C48)</f>
        <v>247.139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0</v>
      </c>
      <c r="AB45" s="53">
        <f t="shared" si="4"/>
        <v>-247.139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">
      <c r="B46" s="3" t="s">
        <v>3</v>
      </c>
      <c r="C46" s="23">
        <v>239.286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0</v>
      </c>
      <c r="AB46" s="53">
        <f t="shared" si="4"/>
        <v>-239.286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">
      <c r="B47" s="3" t="s">
        <v>1</v>
      </c>
      <c r="C47" s="23">
        <v>4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-4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">
      <c r="B48" s="3" t="s">
        <v>5</v>
      </c>
      <c r="C48" s="23">
        <v>3.853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-3.853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">
      <c r="A49" s="10">
        <v>90501</v>
      </c>
      <c r="B49" s="13" t="s">
        <v>43</v>
      </c>
      <c r="C49" s="18">
        <f>C50+C51</f>
        <v>95.375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-95.375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">
      <c r="B50" s="3" t="s">
        <v>3</v>
      </c>
      <c r="C50" s="27">
        <v>79.25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-79.25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">
      <c r="B51" s="3" t="s">
        <v>10</v>
      </c>
      <c r="C51" s="27">
        <v>16.125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-16.125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">
      <c r="A52" s="10">
        <v>110000</v>
      </c>
      <c r="B52" s="13" t="s">
        <v>36</v>
      </c>
      <c r="C52" s="18">
        <f aca="true" t="shared" si="14" ref="C52:AA52">SUM(C53:C56)</f>
        <v>1215.939</v>
      </c>
      <c r="D52" s="18">
        <f t="shared" si="14"/>
        <v>0</v>
      </c>
      <c r="E52" s="18">
        <f t="shared" si="14"/>
        <v>0</v>
      </c>
      <c r="F52" s="18">
        <f t="shared" si="14"/>
        <v>0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0</v>
      </c>
      <c r="AB52" s="53">
        <f t="shared" si="4"/>
        <v>-1215.939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">
      <c r="B53" s="3" t="s">
        <v>3</v>
      </c>
      <c r="C53" s="23">
        <v>838.283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0</v>
      </c>
      <c r="AB53" s="53">
        <f t="shared" si="4"/>
        <v>-838.283</v>
      </c>
    </row>
    <row r="54" spans="2:28" ht="15">
      <c r="B54" s="3" t="s">
        <v>1</v>
      </c>
      <c r="C54" s="23">
        <v>73.287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0</v>
      </c>
      <c r="AB54" s="53">
        <f t="shared" si="4"/>
        <v>-73.287</v>
      </c>
    </row>
    <row r="55" spans="2:28" ht="1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">
      <c r="B56" s="3" t="s">
        <v>5</v>
      </c>
      <c r="C56" s="23">
        <v>297.749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0</v>
      </c>
      <c r="AB56" s="53">
        <f t="shared" si="4"/>
        <v>-297.749</v>
      </c>
      <c r="AC56" s="10"/>
    </row>
    <row r="57" spans="1:40" s="10" customFormat="1" ht="15">
      <c r="A57" s="10">
        <v>130000</v>
      </c>
      <c r="B57" s="13" t="s">
        <v>37</v>
      </c>
      <c r="C57" s="18">
        <f>SUM(C58:C62)</f>
        <v>1098.16851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0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0</v>
      </c>
      <c r="AB57" s="53">
        <f t="shared" si="4"/>
        <v>-1098.16851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">
      <c r="B58" s="3" t="s">
        <v>3</v>
      </c>
      <c r="C58" s="23">
        <v>759.287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-759.287</v>
      </c>
    </row>
    <row r="59" spans="2:28" ht="15">
      <c r="B59" s="3" t="s">
        <v>2</v>
      </c>
      <c r="C59" s="23">
        <v>0.00051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-0.00051</v>
      </c>
    </row>
    <row r="60" spans="2:28" ht="15">
      <c r="B60" s="3" t="s">
        <v>1</v>
      </c>
      <c r="C60" s="23">
        <v>37.305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0</v>
      </c>
      <c r="AB60" s="53">
        <f t="shared" si="4"/>
        <v>-37.305</v>
      </c>
    </row>
    <row r="61" spans="2:28" ht="15">
      <c r="B61" s="3" t="s">
        <v>10</v>
      </c>
      <c r="C61" s="23">
        <v>82.123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0</v>
      </c>
      <c r="AB61" s="53">
        <f t="shared" si="4"/>
        <v>-82.123</v>
      </c>
    </row>
    <row r="62" spans="2:28" ht="15">
      <c r="B62" s="3" t="s">
        <v>5</v>
      </c>
      <c r="C62" s="23">
        <v>219.453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0</v>
      </c>
      <c r="AB62" s="53">
        <f t="shared" si="4"/>
        <v>-219.453</v>
      </c>
    </row>
    <row r="63" spans="2:28" ht="15">
      <c r="B63" s="13" t="s">
        <v>44</v>
      </c>
      <c r="C63" s="18">
        <f>C64+C65</f>
        <v>3800.2870000000003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0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0</v>
      </c>
      <c r="AB63" s="53">
        <f t="shared" si="4"/>
        <v>-3800.2870000000003</v>
      </c>
    </row>
    <row r="64" spans="2:28" ht="15">
      <c r="B64" s="32" t="s">
        <v>49</v>
      </c>
      <c r="C64" s="27">
        <v>298.858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-298.858</v>
      </c>
    </row>
    <row r="65" spans="2:28" ht="15">
      <c r="B65" s="32" t="s">
        <v>10</v>
      </c>
      <c r="C65" s="27">
        <v>3501.429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0</v>
      </c>
      <c r="AB65" s="53">
        <f t="shared" si="4"/>
        <v>-3501.429</v>
      </c>
    </row>
    <row r="66" spans="2:28" ht="15">
      <c r="B66" s="13" t="s">
        <v>63</v>
      </c>
      <c r="C66" s="18">
        <f>C67+C68</f>
        <v>45.181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t="shared" si="4"/>
        <v>-45.181</v>
      </c>
    </row>
    <row r="67" spans="2:28" ht="15">
      <c r="B67" s="3" t="s">
        <v>1</v>
      </c>
      <c r="C67" s="27">
        <v>15.634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-15.634</v>
      </c>
    </row>
    <row r="68" spans="2:28" ht="15">
      <c r="B68" s="3" t="s">
        <v>10</v>
      </c>
      <c r="C68" s="27">
        <v>29.547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-29.547</v>
      </c>
    </row>
    <row r="69" spans="2:28" ht="45" customHeight="1">
      <c r="B69" s="15" t="s">
        <v>60</v>
      </c>
      <c r="C69" s="18">
        <v>400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0</v>
      </c>
      <c r="AB69" s="53">
        <f t="shared" si="4"/>
        <v>-400</v>
      </c>
    </row>
    <row r="70" spans="1:29" ht="15">
      <c r="A70" s="10">
        <v>170703</v>
      </c>
      <c r="B70" s="13" t="s">
        <v>45</v>
      </c>
      <c r="C70" s="18">
        <f>C71</f>
        <v>381.691</v>
      </c>
      <c r="D70" s="18">
        <f aca="true" t="shared" si="18" ref="D70:AA71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-381.691</v>
      </c>
      <c r="AC70" s="35"/>
    </row>
    <row r="71" spans="2:40" s="35" customFormat="1" ht="15">
      <c r="B71" s="32" t="s">
        <v>49</v>
      </c>
      <c r="C71" s="27">
        <v>381.691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0</v>
      </c>
      <c r="AB71" s="53">
        <f t="shared" si="4"/>
        <v>-381.691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7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">
      <c r="B73" s="15" t="s">
        <v>67</v>
      </c>
      <c r="C73" s="18">
        <v>279.678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-279.678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">
      <c r="B75" s="15" t="s">
        <v>47</v>
      </c>
      <c r="C75" s="18">
        <v>281.155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-281.155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">
      <c r="A76" s="10">
        <v>250102</v>
      </c>
      <c r="B76" s="13" t="s">
        <v>46</v>
      </c>
      <c r="C76" s="18">
        <v>100.5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-100.5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5.5">
      <c r="B77" s="13" t="s">
        <v>58</v>
      </c>
      <c r="C77" s="18">
        <v>47.942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>
        <f t="shared" si="4"/>
        <v>-47.942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 hidden="1">
      <c r="B78" s="13" t="s">
        <v>68</v>
      </c>
      <c r="C78" s="18"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>
        <f t="shared" si="4"/>
        <v>0</v>
      </c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5.5" hidden="1">
      <c r="B79" s="13" t="s">
        <v>69</v>
      </c>
      <c r="C79" s="18"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0</v>
      </c>
      <c r="AB79" s="53">
        <f t="shared" si="4"/>
        <v>0</v>
      </c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2">
      <c r="B80" s="13" t="s">
        <v>14</v>
      </c>
      <c r="C80" s="18">
        <v>0</v>
      </c>
      <c r="D80" s="18">
        <v>451.403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451.403</v>
      </c>
      <c r="AB80" s="53">
        <f t="shared" si="4"/>
        <v>451.403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">
      <c r="B81" s="17" t="s">
        <v>7</v>
      </c>
      <c r="C81" s="26">
        <f>SUM(C82:C88)</f>
        <v>39638.71451</v>
      </c>
      <c r="D81" s="26">
        <f aca="true" t="shared" si="20" ref="D81:AA81">SUM(D82:D88)</f>
        <v>457.673</v>
      </c>
      <c r="E81" s="26">
        <f t="shared" si="20"/>
        <v>0</v>
      </c>
      <c r="F81" s="26">
        <f t="shared" si="20"/>
        <v>0</v>
      </c>
      <c r="G81" s="26">
        <f t="shared" si="20"/>
        <v>0</v>
      </c>
      <c r="H81" s="26">
        <f t="shared" si="20"/>
        <v>0</v>
      </c>
      <c r="I81" s="26">
        <f t="shared" si="20"/>
        <v>0</v>
      </c>
      <c r="J81" s="26">
        <f t="shared" si="20"/>
        <v>0</v>
      </c>
      <c r="K81" s="26">
        <f t="shared" si="20"/>
        <v>0</v>
      </c>
      <c r="L81" s="26">
        <f t="shared" si="20"/>
        <v>0</v>
      </c>
      <c r="M81" s="26">
        <f t="shared" si="20"/>
        <v>0</v>
      </c>
      <c r="N81" s="26">
        <f t="shared" si="20"/>
        <v>0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457.673</v>
      </c>
      <c r="AB81" s="53">
        <f t="shared" si="4"/>
        <v>-39181.041509999995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">
      <c r="A82" s="4"/>
      <c r="B82" s="3" t="s">
        <v>3</v>
      </c>
      <c r="C82" s="23">
        <f aca="true" t="shared" si="21" ref="C82:AA82">C20+C36+C42+C46+C50+C53+C58+C24</f>
        <v>26718.18</v>
      </c>
      <c r="D82" s="23">
        <f t="shared" si="21"/>
        <v>6.08</v>
      </c>
      <c r="E82" s="23">
        <f t="shared" si="21"/>
        <v>0</v>
      </c>
      <c r="F82" s="23">
        <f t="shared" si="21"/>
        <v>0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0</v>
      </c>
      <c r="K82" s="23">
        <f t="shared" si="21"/>
        <v>0</v>
      </c>
      <c r="L82" s="23">
        <f t="shared" si="21"/>
        <v>0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6.08</v>
      </c>
      <c r="AB82" s="53">
        <f t="shared" si="4"/>
        <v>-26712.1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">
      <c r="A83" s="4"/>
      <c r="B83" s="3" t="s">
        <v>2</v>
      </c>
      <c r="C83" s="23">
        <f aca="true" t="shared" si="22" ref="C83:AA83">C25+C37+C59</f>
        <v>19.12751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0</v>
      </c>
      <c r="AB83" s="53">
        <f t="shared" si="4"/>
        <v>-19.12751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">
      <c r="A84" s="4"/>
      <c r="B84" s="3" t="s">
        <v>0</v>
      </c>
      <c r="C84" s="23">
        <f aca="true" t="shared" si="23" ref="C84:AA84">C26+C38</f>
        <v>726.4609999999999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0</v>
      </c>
      <c r="H84" s="23">
        <f t="shared" si="23"/>
        <v>0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0</v>
      </c>
      <c r="AB84" s="53">
        <f t="shared" si="4"/>
        <v>-726.4609999999999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">
      <c r="A85" s="4"/>
      <c r="B85" s="3" t="s">
        <v>1</v>
      </c>
      <c r="C85" s="23">
        <f aca="true" t="shared" si="24" ref="C85:AA85">C21+C27+C39+C43+C47+C54+C60+C67</f>
        <v>1149.516</v>
      </c>
      <c r="D85" s="23">
        <f t="shared" si="24"/>
        <v>0</v>
      </c>
      <c r="E85" s="23">
        <f t="shared" si="24"/>
        <v>0</v>
      </c>
      <c r="F85" s="23">
        <f t="shared" si="24"/>
        <v>0</v>
      </c>
      <c r="G85" s="23">
        <f t="shared" si="24"/>
        <v>0</v>
      </c>
      <c r="H85" s="23">
        <f t="shared" si="24"/>
        <v>0</v>
      </c>
      <c r="I85" s="23">
        <f t="shared" si="24"/>
        <v>0</v>
      </c>
      <c r="J85" s="23">
        <f t="shared" si="24"/>
        <v>0</v>
      </c>
      <c r="K85" s="23">
        <f t="shared" si="24"/>
        <v>0</v>
      </c>
      <c r="L85" s="23">
        <f t="shared" si="24"/>
        <v>0</v>
      </c>
      <c r="M85" s="23">
        <f t="shared" si="24"/>
        <v>0</v>
      </c>
      <c r="N85" s="23">
        <f t="shared" si="24"/>
        <v>0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0</v>
      </c>
      <c r="AB85" s="53">
        <f>AA85-C85</f>
        <v>-1149.516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">
      <c r="A86" s="4"/>
      <c r="B86" s="3" t="s">
        <v>9</v>
      </c>
      <c r="C86" s="23">
        <f aca="true" t="shared" si="25" ref="C86:AA86">C55+C73</f>
        <v>286.298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-286.298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">
      <c r="A87" s="4"/>
      <c r="B87" s="3" t="s">
        <v>10</v>
      </c>
      <c r="C87" s="23">
        <f>C30+C51+C61+C65+C31+C68+C77+C78+C79</f>
        <v>4225.8949999999995</v>
      </c>
      <c r="D87" s="23">
        <f aca="true" t="shared" si="26" ref="D87:AA87">D30+D51+D61+D65+D31+D68+D77+D78+D79</f>
        <v>0</v>
      </c>
      <c r="E87" s="23">
        <f t="shared" si="26"/>
        <v>0</v>
      </c>
      <c r="F87" s="23">
        <f t="shared" si="26"/>
        <v>0</v>
      </c>
      <c r="G87" s="23">
        <f t="shared" si="26"/>
        <v>0</v>
      </c>
      <c r="H87" s="23">
        <f t="shared" si="26"/>
        <v>0</v>
      </c>
      <c r="I87" s="23">
        <f t="shared" si="26"/>
        <v>0</v>
      </c>
      <c r="J87" s="23">
        <f t="shared" si="26"/>
        <v>0</v>
      </c>
      <c r="K87" s="23">
        <f t="shared" si="26"/>
        <v>0</v>
      </c>
      <c r="L87" s="23">
        <f t="shared" si="26"/>
        <v>0</v>
      </c>
      <c r="M87" s="23">
        <f t="shared" si="26"/>
        <v>0</v>
      </c>
      <c r="N87" s="23">
        <f t="shared" si="26"/>
        <v>0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0</v>
      </c>
      <c r="AB87" s="53">
        <f>AA87-C87</f>
        <v>-4225.8949999999995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">
      <c r="A88" s="4"/>
      <c r="B88" s="3" t="s">
        <v>5</v>
      </c>
      <c r="C88" s="23">
        <f>C22+C28+C32+C33+C40+C44+C48+C56+C62+C71+C75+C76+C80+C64+C74+C72+C34+C69</f>
        <v>6513.237</v>
      </c>
      <c r="D88" s="23">
        <f aca="true" t="shared" si="27" ref="D88:AA88">D22+D28+D32+D33+D40+D44+D48+D56+D62+D71+D75+D76+D80+D64+D74+D72+D34+D69</f>
        <v>451.593</v>
      </c>
      <c r="E88" s="23">
        <f t="shared" si="27"/>
        <v>0</v>
      </c>
      <c r="F88" s="23">
        <f t="shared" si="27"/>
        <v>0</v>
      </c>
      <c r="G88" s="23">
        <f t="shared" si="27"/>
        <v>0</v>
      </c>
      <c r="H88" s="23">
        <f t="shared" si="27"/>
        <v>0</v>
      </c>
      <c r="I88" s="23">
        <f t="shared" si="27"/>
        <v>0</v>
      </c>
      <c r="J88" s="23">
        <f t="shared" si="27"/>
        <v>0</v>
      </c>
      <c r="K88" s="23">
        <f t="shared" si="27"/>
        <v>0</v>
      </c>
      <c r="L88" s="23">
        <f t="shared" si="27"/>
        <v>0</v>
      </c>
      <c r="M88" s="23">
        <f t="shared" si="27"/>
        <v>0</v>
      </c>
      <c r="N88" s="23">
        <f t="shared" si="27"/>
        <v>0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451.593</v>
      </c>
      <c r="AB88" s="53">
        <f>AA88-C88</f>
        <v>-6061.644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пк</cp:lastModifiedBy>
  <cp:lastPrinted>2019-05-03T06:31:33Z</cp:lastPrinted>
  <dcterms:created xsi:type="dcterms:W3CDTF">2002-11-05T08:53:00Z</dcterms:created>
  <dcterms:modified xsi:type="dcterms:W3CDTF">2019-06-03T10:42:57Z</dcterms:modified>
  <cp:category/>
  <cp:version/>
  <cp:contentType/>
  <cp:contentStatus/>
</cp:coreProperties>
</file>