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485" windowWidth="7545" windowHeight="3705" tabRatio="661" firstSheet="3" activeTab="3"/>
  </bookViews>
  <sheets>
    <sheet name="січень 19" sheetId="1" r:id="rId1"/>
    <sheet name="лютий 19" sheetId="2" r:id="rId2"/>
    <sheet name="березень 19" sheetId="3" r:id="rId3"/>
    <sheet name="квітень 19" sheetId="4" r:id="rId4"/>
    <sheet name="Лист2" sheetId="5" r:id="rId5"/>
  </sheets>
  <definedNames/>
  <calcPr fullCalcOnLoad="1"/>
</workbook>
</file>

<file path=xl/sharedStrings.xml><?xml version="1.0" encoding="utf-8"?>
<sst xmlns="http://schemas.openxmlformats.org/spreadsheetml/2006/main" count="395" uniqueCount="67">
  <si>
    <t>харчування</t>
  </si>
  <si>
    <t>енергоносії</t>
  </si>
  <si>
    <t>медикаменти</t>
  </si>
  <si>
    <t>заробітна плата</t>
  </si>
  <si>
    <t>Всього профінансовано</t>
  </si>
  <si>
    <t>інші поточні видатки</t>
  </si>
  <si>
    <t>Показник</t>
  </si>
  <si>
    <t>ВСЬОГО</t>
  </si>
  <si>
    <t>Доходи всього</t>
  </si>
  <si>
    <t>заходи</t>
  </si>
  <si>
    <t>поточні трансферти</t>
  </si>
  <si>
    <t>х</t>
  </si>
  <si>
    <t>Видатки всього</t>
  </si>
  <si>
    <t>(тис.грн.)</t>
  </si>
  <si>
    <t>Передано до бюджету розвитку (спеціальний фонд) на капітальні видатки</t>
  </si>
  <si>
    <t>Освіта</t>
  </si>
  <si>
    <t>Соцзахист</t>
  </si>
  <si>
    <t>ЖКГ</t>
  </si>
  <si>
    <t>Культура</t>
  </si>
  <si>
    <t>Спорт</t>
  </si>
  <si>
    <t>Інші видатки</t>
  </si>
  <si>
    <t>надійшло доходів / план видатків на місяць</t>
  </si>
  <si>
    <t>Земельний податок</t>
  </si>
  <si>
    <t>Акцизний податок</t>
  </si>
  <si>
    <t>Податок на нерухоме майно</t>
  </si>
  <si>
    <t xml:space="preserve">Єдиний податок </t>
  </si>
  <si>
    <t>Доходи загального фонду, т.ч.</t>
  </si>
  <si>
    <t>Податок на доходи фізичних осіб</t>
  </si>
  <si>
    <t>Податок на прибуток підпрємств комунальної власності</t>
  </si>
  <si>
    <t>Структура доходів бюджету міста</t>
  </si>
  <si>
    <t>Інші надходження, податки та збори</t>
  </si>
  <si>
    <t>Плата за надання інших адмінпослуг</t>
  </si>
  <si>
    <t>090412, 091205, 091108, 090209, 090213, 091104</t>
  </si>
  <si>
    <t>Освіта (1000) в т. числі:</t>
  </si>
  <si>
    <t>Терцентр (3104)</t>
  </si>
  <si>
    <t>ЦСРДІ (3105)</t>
  </si>
  <si>
    <t>Культура (4000)</t>
  </si>
  <si>
    <t>Фізкультура і спорт (5000)</t>
  </si>
  <si>
    <t xml:space="preserve">   Трансферти (Освітня субвенція)</t>
  </si>
  <si>
    <t xml:space="preserve">   Субвенція на утримання об'єктів спільного користування</t>
  </si>
  <si>
    <t>ОМС, інші видатки (0160, 0180)</t>
  </si>
  <si>
    <t>Компенсаційні виплати на пільговий проїзд автомобільним транспортом (3033)</t>
  </si>
  <si>
    <t>Молодь (3121)</t>
  </si>
  <si>
    <t>Громадські роботи (3210)</t>
  </si>
  <si>
    <t>Благоустрій міста (6030)</t>
  </si>
  <si>
    <t>Ремонт доріг (7461)</t>
  </si>
  <si>
    <t>Резервний фонд (8700)</t>
  </si>
  <si>
    <t>Обслуговування боргу (8600)</t>
  </si>
  <si>
    <t>ОМС, інші видатки</t>
  </si>
  <si>
    <t>поточні видатки</t>
  </si>
  <si>
    <t>Членські внески до асоціацій (7680)</t>
  </si>
  <si>
    <t>Сприяння розвитку малого та середнього підприємництва (7610)</t>
  </si>
  <si>
    <t>Охорона здоров'я</t>
  </si>
  <si>
    <t>Компенсаційні виплати за пільговий проїзд окремих категорій громадян на залізничному транспорті (3035)</t>
  </si>
  <si>
    <t>Соціальний захист (3031, 3122, 3133, 3140, 3160, 3242)</t>
  </si>
  <si>
    <t>Рядок 19 - 79</t>
  </si>
  <si>
    <t>ї</t>
  </si>
  <si>
    <t>Первинна медична допомога населенню (2110)</t>
  </si>
  <si>
    <t>Субвенція з місцевого бюджету на здійснення переданих видатків у сфері охорони здоров`я за рахунок коштів медичної субвенції (9410)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</si>
  <si>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січні 2019 року</t>
    </r>
  </si>
  <si>
    <t>Розроблення схем планування та забудови територій (містобудівної документації) (7350)</t>
  </si>
  <si>
    <t>Відшкодування вартості лікарських засобів для лікування окремих захворювань (2146)</t>
  </si>
  <si>
    <t>Соціальний захист (3031, 3122, 3140, 3160, 3242)</t>
  </si>
  <si>
    <t>Інша д-ть у сфері ЖКГ (6090)</t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</si>
  <si>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лютому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</si>
  <si>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березні 2019 року</t>
    </r>
  </si>
  <si>
    <r>
      <t xml:space="preserve">Графік фінансування із загального фонду міського бюджету м.Миргорода </t>
    </r>
    <r>
      <rPr>
        <b/>
        <u val="single"/>
        <sz val="14"/>
        <rFont val="Times New Roman"/>
        <family val="1"/>
      </rPr>
      <t>у квітні 2019 року</t>
    </r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</si>
</sst>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.00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YR"/>
      <family val="0"/>
    </font>
    <font>
      <sz val="11"/>
      <color indexed="8"/>
      <name val="Times New Roman"/>
      <family val="1"/>
    </font>
    <font>
      <sz val="12"/>
      <color indexed="9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8"/>
      <name val="Calibri"/>
      <family val="0"/>
    </font>
    <font>
      <b/>
      <sz val="15"/>
      <color indexed="8"/>
      <name val="Calibri"/>
      <family val="0"/>
    </font>
    <font>
      <b/>
      <sz val="11"/>
      <color indexed="8"/>
      <name val="Calibri"/>
      <family val="0"/>
    </font>
    <font>
      <b/>
      <sz val="16"/>
      <color indexed="8"/>
      <name val="Calibri"/>
      <family val="0"/>
    </font>
    <font>
      <b/>
      <sz val="20"/>
      <color indexed="8"/>
      <name val="Calibri"/>
      <family val="0"/>
    </font>
    <font>
      <b/>
      <sz val="10.1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5"/>
      <color indexed="8"/>
      <name val="Calibri"/>
      <family val="0"/>
    </font>
    <font>
      <b/>
      <sz val="36"/>
      <color indexed="8"/>
      <name val="Calibri"/>
      <family val="0"/>
    </font>
    <font>
      <b/>
      <sz val="24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11" fillId="0" borderId="0">
      <alignment/>
      <protection/>
    </xf>
    <xf numFmtId="0" fontId="2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188" fontId="3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 inden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24" borderId="10" xfId="0" applyFont="1" applyFill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2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4" borderId="10" xfId="0" applyFont="1" applyFill="1" applyBorder="1" applyAlignment="1">
      <alignment horizontal="center" wrapText="1"/>
    </xf>
    <xf numFmtId="188" fontId="5" fillId="4" borderId="10" xfId="0" applyNumberFormat="1" applyFont="1" applyFill="1" applyBorder="1" applyAlignment="1">
      <alignment horizontal="center" vertical="center" wrapText="1"/>
    </xf>
    <xf numFmtId="0" fontId="5" fillId="25" borderId="10" xfId="0" applyFont="1" applyFill="1" applyBorder="1" applyAlignment="1">
      <alignment wrapText="1"/>
    </xf>
    <xf numFmtId="0" fontId="5" fillId="22" borderId="1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5" fillId="22" borderId="10" xfId="0" applyFont="1" applyFill="1" applyBorder="1" applyAlignment="1">
      <alignment/>
    </xf>
    <xf numFmtId="188" fontId="5" fillId="25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88" fontId="3" fillId="0" borderId="0" xfId="0" applyNumberFormat="1" applyFont="1" applyAlignment="1">
      <alignment horizontal="center"/>
    </xf>
    <xf numFmtId="188" fontId="5" fillId="0" borderId="10" xfId="0" applyNumberFormat="1" applyFont="1" applyFill="1" applyBorder="1" applyAlignment="1">
      <alignment horizontal="center" vertical="center" wrapText="1"/>
    </xf>
    <xf numFmtId="188" fontId="5" fillId="4" borderId="10" xfId="0" applyNumberFormat="1" applyFont="1" applyFill="1" applyBorder="1" applyAlignment="1">
      <alignment horizontal="center" vertical="center"/>
    </xf>
    <xf numFmtId="188" fontId="5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 shrinkToFit="1"/>
    </xf>
    <xf numFmtId="188" fontId="3" fillId="0" borderId="10" xfId="0" applyNumberFormat="1" applyFont="1" applyFill="1" applyBorder="1" applyAlignment="1">
      <alignment horizontal="center" vertical="center"/>
    </xf>
    <xf numFmtId="188" fontId="5" fillId="22" borderId="10" xfId="0" applyNumberFormat="1" applyFont="1" applyFill="1" applyBorder="1" applyAlignment="1">
      <alignment horizontal="center" vertical="center"/>
    </xf>
    <xf numFmtId="188" fontId="5" fillId="24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188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24" borderId="10" xfId="0" applyFont="1" applyFill="1" applyBorder="1" applyAlignment="1">
      <alignment horizontal="left" wrapText="1" inden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24" borderId="0" xfId="0" applyFont="1" applyFill="1" applyAlignment="1">
      <alignment/>
    </xf>
    <xf numFmtId="0" fontId="9" fillId="24" borderId="0" xfId="0" applyFont="1" applyFill="1" applyAlignment="1">
      <alignment/>
    </xf>
    <xf numFmtId="188" fontId="3" fillId="26" borderId="10" xfId="0" applyNumberFormat="1" applyFont="1" applyFill="1" applyBorder="1" applyAlignment="1">
      <alignment horizontal="center" vertical="center" wrapText="1"/>
    </xf>
    <xf numFmtId="0" fontId="3" fillId="26" borderId="10" xfId="0" applyFont="1" applyFill="1" applyBorder="1" applyAlignment="1">
      <alignment horizontal="center" vertical="center"/>
    </xf>
    <xf numFmtId="0" fontId="10" fillId="24" borderId="10" xfId="53" applyFont="1" applyFill="1" applyBorder="1" applyAlignment="1">
      <alignment horizontal="left" vertical="top" wrapText="1" indent="1"/>
      <protection/>
    </xf>
    <xf numFmtId="188" fontId="3" fillId="24" borderId="10" xfId="0" applyNumberFormat="1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8" fillId="24" borderId="0" xfId="0" applyFont="1" applyFill="1" applyAlignment="1">
      <alignment/>
    </xf>
    <xf numFmtId="188" fontId="12" fillId="24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188" fontId="1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88" fontId="16" fillId="24" borderId="0" xfId="0" applyNumberFormat="1" applyFont="1" applyFill="1" applyBorder="1" applyAlignment="1">
      <alignment horizontal="center" vertical="center"/>
    </xf>
    <xf numFmtId="188" fontId="15" fillId="0" borderId="0" xfId="0" applyNumberFormat="1" applyFont="1" applyAlignment="1">
      <alignment/>
    </xf>
    <xf numFmtId="188" fontId="14" fillId="26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wrapText="1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0" fontId="13" fillId="24" borderId="0" xfId="0" applyFont="1" applyFill="1" applyAlignment="1">
      <alignment/>
    </xf>
    <xf numFmtId="0" fontId="17" fillId="24" borderId="0" xfId="0" applyFont="1" applyFill="1" applyAlignment="1">
      <alignment/>
    </xf>
    <xf numFmtId="188" fontId="3" fillId="25" borderId="1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188" fontId="3" fillId="0" borderId="0" xfId="0" applyNumberFormat="1" applyFont="1" applyAlignment="1">
      <alignment/>
    </xf>
    <xf numFmtId="188" fontId="3" fillId="24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0" borderId="0" xfId="0" applyFont="1" applyAlignment="1">
      <alignment/>
    </xf>
    <xf numFmtId="0" fontId="13" fillId="0" borderId="0" xfId="0" applyFont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17" fillId="24" borderId="0" xfId="0" applyFont="1" applyFill="1" applyAlignment="1">
      <alignment/>
    </xf>
    <xf numFmtId="188" fontId="13" fillId="24" borderId="0" xfId="0" applyNumberFormat="1" applyFont="1" applyFill="1" applyAlignment="1">
      <alignment/>
    </xf>
    <xf numFmtId="0" fontId="13" fillId="24" borderId="0" xfId="0" applyFont="1" applyFill="1" applyAlignment="1">
      <alignment/>
    </xf>
    <xf numFmtId="188" fontId="17" fillId="0" borderId="0" xfId="0" applyNumberFormat="1" applyFont="1" applyAlignment="1">
      <alignment/>
    </xf>
    <xf numFmtId="188" fontId="13" fillId="0" borderId="0" xfId="0" applyNumberFormat="1" applyFont="1" applyAlignment="1">
      <alignment/>
    </xf>
    <xf numFmtId="0" fontId="6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ЛАСТІ 2002 РІЙОНИ 200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0375"/>
          <c:y val="0.16475"/>
          <c:w val="0.39675"/>
          <c:h val="0.53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19'!$B$75:$B$81</c:f>
              <c:strCache/>
            </c:strRef>
          </c:cat>
          <c:val>
            <c:numRef>
              <c:f>'січень 19'!$AA$75:$AA$81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8"/>
          <c:y val="0.86525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025"/>
          <c:y val="0.17775"/>
          <c:w val="0.38025"/>
          <c:h val="0.436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19'!$AD$20:$AD$27</c:f>
              <c:strCache/>
            </c:strRef>
          </c:cat>
          <c:val>
            <c:numRef>
              <c:f>'березень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4"/>
          <c:y val="0.7345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1625"/>
          <c:w val="0.6695"/>
          <c:h val="0.7365"/>
        </c:manualLayout>
      </c:layout>
      <c:lineChart>
        <c:grouping val="standard"/>
        <c:varyColors val="0"/>
        <c:ser>
          <c:idx val="0"/>
          <c:order val="0"/>
          <c:tx>
            <c:strRef>
              <c:f>'березень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19'!$D$7:$X$7</c:f>
              <c:numCache/>
            </c:numRef>
          </c:val>
          <c:smooth val="0"/>
        </c:ser>
        <c:ser>
          <c:idx val="1"/>
          <c:order val="1"/>
          <c:tx>
            <c:strRef>
              <c:f>'березень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'березень 19'!$D$5:$X$5</c:f>
              <c:numCache/>
            </c:numRef>
          </c:cat>
          <c:val>
            <c:numRef>
              <c:f>'березень 19'!$D$8:$X$8</c:f>
              <c:numCache/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36278499"/>
        <c:crosses val="autoZero"/>
        <c:auto val="1"/>
        <c:lblOffset val="100"/>
        <c:tickLblSkip val="1"/>
        <c:noMultiLvlLbl val="0"/>
      </c:catAx>
      <c:valAx>
        <c:axId val="362784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338571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65"/>
          <c:y val="0.932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3"/>
          <c:y val="0.20975"/>
          <c:w val="0.37825"/>
          <c:h val="0.3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'березень 19'!$B$9:$B$16</c:f>
              <c:strCache/>
            </c:strRef>
          </c:cat>
          <c:val>
            <c:numRef>
              <c:f>'березень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049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15"/>
          <c:y val="0.1625"/>
          <c:w val="0.36525"/>
          <c:h val="0.495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19'!$B$78:$B$84</c:f>
              <c:strCache/>
            </c:strRef>
          </c:cat>
          <c:val>
            <c:numRef>
              <c:f>'квітень 19'!$AA$78:$AA$84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725"/>
          <c:y val="0.848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299"/>
          <c:y val="0.17825"/>
          <c:w val="0.38125"/>
          <c:h val="0.435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'квітень 19'!$AD$20:$AD$27</c:f>
              <c:strCache/>
            </c:strRef>
          </c:cat>
          <c:val>
            <c:numRef>
              <c:f>'квітень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42"/>
          <c:w val="0.88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935"/>
          <c:y val="0.14675"/>
          <c:w val="0.63625"/>
          <c:h val="0.74575"/>
        </c:manualLayout>
      </c:layout>
      <c:lineChart>
        <c:grouping val="standard"/>
        <c:varyColors val="0"/>
        <c:ser>
          <c:idx val="0"/>
          <c:order val="0"/>
          <c:tx>
            <c:strRef>
              <c:f>'квітень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19'!$D$7:$X$7</c:f>
              <c:numCache/>
            </c:numRef>
          </c:val>
          <c:smooth val="0"/>
        </c:ser>
        <c:ser>
          <c:idx val="1"/>
          <c:order val="1"/>
          <c:tx>
            <c:strRef>
              <c:f>'квітень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'квітень 19'!$D$5:$X$5</c:f>
              <c:numCache/>
            </c:numRef>
          </c:cat>
          <c:val>
            <c:numRef>
              <c:f>'квітень 19'!$D$8:$X$8</c:f>
              <c:numCache/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52877277"/>
        <c:crosses val="autoZero"/>
        <c:auto val="1"/>
        <c:lblOffset val="100"/>
        <c:tickLblSkip val="1"/>
        <c:noMultiLvlLbl val="0"/>
      </c:catAx>
      <c:valAx>
        <c:axId val="528772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580710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3"/>
          <c:y val="0.93025"/>
          <c:w val="0.809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325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4325"/>
          <c:y val="0.20975"/>
          <c:w val="0.378"/>
          <c:h val="0.35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'квітень 19'!$B$9:$B$16</c:f>
              <c:strCache/>
            </c:strRef>
          </c:cat>
          <c:val>
            <c:numRef>
              <c:f>'квітень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04725"/>
          <c:w val="0.224"/>
          <c:h val="0.8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075"/>
          <c:y val="0.1555"/>
          <c:w val="0.3495"/>
          <c:h val="0.42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'січень 19'!$AD$20:$AD$27</c:f>
              <c:strCache/>
            </c:strRef>
          </c:cat>
          <c:val>
            <c:numRef>
              <c:f>'січень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575"/>
          <c:y val="0.81625"/>
          <c:w val="0.888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5"/>
          <c:y val="-0.01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7"/>
          <c:y val="0.08"/>
          <c:w val="0.54325"/>
          <c:h val="0.67725"/>
        </c:manualLayout>
      </c:layout>
      <c:lineChart>
        <c:grouping val="standard"/>
        <c:varyColors val="0"/>
        <c:ser>
          <c:idx val="0"/>
          <c:order val="0"/>
          <c:tx>
            <c:strRef>
              <c:f>'січень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19'!$D$7:$X$7</c:f>
              <c:numCache/>
            </c:numRef>
          </c:val>
          <c:smooth val="0"/>
        </c:ser>
        <c:ser>
          <c:idx val="1"/>
          <c:order val="1"/>
          <c:tx>
            <c:strRef>
              <c:f>'січень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'січень 19'!$D$5:$X$5</c:f>
              <c:numCache/>
            </c:numRef>
          </c:cat>
          <c:val>
            <c:numRef>
              <c:f>'січень 19'!$D$8:$X$8</c:f>
              <c:numCache/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20022607"/>
        <c:crosses val="autoZero"/>
        <c:auto val="1"/>
        <c:lblOffset val="100"/>
        <c:tickLblSkip val="1"/>
        <c:noMultiLvlLbl val="0"/>
      </c:catAx>
      <c:valAx>
        <c:axId val="200226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2247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21"/>
          <c:y val="0.94275"/>
          <c:w val="0.809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36"/>
          <c:y val="-0.0215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275"/>
          <c:y val="0.13575"/>
          <c:w val="0.41875"/>
          <c:h val="0.41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4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'січень 19'!$B$9:$B$16</c:f>
              <c:strCache/>
            </c:strRef>
          </c:cat>
          <c:val>
            <c:numRef>
              <c:f>'січень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35"/>
          <c:y val="0"/>
          <c:w val="0.2255"/>
          <c:h val="0.8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075"/>
          <c:y val="0.16475"/>
          <c:w val="0.3715"/>
          <c:h val="0.50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19'!$B$79:$B$85</c:f>
              <c:strCache/>
            </c:strRef>
          </c:cat>
          <c:val>
            <c:numRef>
              <c:f>'лютий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84"/>
          <c:y val="0.848"/>
          <c:w val="0.860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по галузях</a:t>
            </a:r>
          </a:p>
        </c:rich>
      </c:tx>
      <c:layout>
        <c:manualLayout>
          <c:xMode val="factor"/>
          <c:yMode val="factor"/>
          <c:x val="0.02"/>
          <c:y val="0"/>
        </c:manualLayout>
      </c:layout>
      <c:spPr>
        <a:noFill/>
        <a:ln>
          <a:noFill/>
        </a:ln>
      </c:spPr>
    </c:title>
    <c:view3D>
      <c:rotX val="40"/>
      <c:hPercent val="100"/>
      <c:rotY val="120"/>
      <c:depthPercent val="100"/>
      <c:rAngAx val="1"/>
    </c:view3D>
    <c:plotArea>
      <c:layout>
        <c:manualLayout>
          <c:xMode val="edge"/>
          <c:yMode val="edge"/>
          <c:x val="0.304"/>
          <c:y val="0.22375"/>
          <c:w val="0.38325"/>
          <c:h val="0.4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'лютий 19'!$AD$20:$AD$27</c:f>
              <c:strCache/>
            </c:strRef>
          </c:cat>
          <c:val>
            <c:numRef>
              <c:f>'лютий 19'!$AE$20:$AE$27</c:f>
              <c:numCache/>
            </c:numRef>
          </c:val>
        </c:ser>
        <c:firstSliceAng val="12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7505"/>
          <c:w val="0.8885"/>
          <c:h val="0.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600" b="1" i="0" u="none" baseline="0">
                <a:solidFill>
                  <a:srgbClr val="000000"/>
                </a:solidFill>
              </a:rPr>
              <a:t>Динаміка надходжень до міського бюджету</a:t>
            </a:r>
          </a:p>
        </c:rich>
      </c:tx>
      <c:layout>
        <c:manualLayout>
          <c:xMode val="factor"/>
          <c:yMode val="factor"/>
          <c:x val="-0.00075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575"/>
          <c:y val="0.143"/>
          <c:w val="0.70475"/>
          <c:h val="0.75625"/>
        </c:manualLayout>
      </c:layout>
      <c:lineChart>
        <c:grouping val="standard"/>
        <c:varyColors val="0"/>
        <c:ser>
          <c:idx val="0"/>
          <c:order val="0"/>
          <c:tx>
            <c:strRef>
              <c:f>'лютий 19'!$B$7</c:f>
              <c:strCache>
                <c:ptCount val="1"/>
                <c:pt idx="0">
                  <c:v>   Трансферти (Освітня субвенція)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1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19'!$D$7:$X$7</c:f>
              <c:numCache/>
            </c:numRef>
          </c:val>
          <c:smooth val="0"/>
        </c:ser>
        <c:ser>
          <c:idx val="1"/>
          <c:order val="1"/>
          <c:tx>
            <c:strRef>
              <c:f>'лютий 19'!$B$8</c:f>
              <c:strCache>
                <c:ptCount val="1"/>
                <c:pt idx="0">
                  <c:v>Доходи загального фонду, т.ч.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'лютий 19'!$D$5:$X$5</c:f>
              <c:numCache/>
            </c:numRef>
          </c:cat>
          <c:val>
            <c:numRef>
              <c:f>'лютий 19'!$D$8:$X$8</c:f>
              <c:numCache/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</a:defRPr>
            </a:pPr>
          </a:p>
        </c:txPr>
        <c:crossAx val="11218441"/>
        <c:crosses val="autoZero"/>
        <c:auto val="1"/>
        <c:lblOffset val="100"/>
        <c:tickLblSkip val="1"/>
        <c:noMultiLvlLbl val="0"/>
      </c:catAx>
      <c:valAx>
        <c:axId val="112184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459857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685"/>
          <c:y val="0.943"/>
          <c:w val="0.811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</a:rPr>
              <a:t>Структура доходів загального фонду бюджету міста</a:t>
            </a:r>
          </a:p>
        </c:rich>
      </c:tx>
      <c:layout>
        <c:manualLayout>
          <c:xMode val="factor"/>
          <c:yMode val="factor"/>
          <c:x val="-0.004"/>
          <c:y val="-0.021"/>
        </c:manualLayout>
      </c:layout>
      <c:spPr>
        <a:noFill/>
        <a:ln>
          <a:noFill/>
        </a:ln>
      </c:spPr>
    </c:title>
    <c:view3D>
      <c:rotX val="30"/>
      <c:hPercent val="100"/>
      <c:rotY val="190"/>
      <c:depthPercent val="100"/>
      <c:rAngAx val="1"/>
    </c:view3D>
    <c:plotArea>
      <c:layout>
        <c:manualLayout>
          <c:xMode val="edge"/>
          <c:yMode val="edge"/>
          <c:x val="0.133"/>
          <c:y val="0.206"/>
          <c:w val="0.4165"/>
          <c:h val="0.39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1"/>
              <c:separator>;</c:separator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  <c:separator>;</c:separator>
          </c:dLbls>
          <c:cat>
            <c:strRef>
              <c:f>'лютий 19'!$B$9:$B$16</c:f>
              <c:strCache/>
            </c:strRef>
          </c:cat>
          <c:val>
            <c:numRef>
              <c:f>'лютий 19'!$C$9:$C$16</c:f>
              <c:numCache/>
            </c:numRef>
          </c:val>
        </c:ser>
        <c:firstSliceAng val="19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575"/>
          <c:y val="0.042"/>
          <c:w val="0.22425"/>
          <c:h val="0.87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0" b="1" i="0" u="none" baseline="0">
                <a:solidFill>
                  <a:srgbClr val="000000"/>
                </a:solidFill>
              </a:rPr>
              <a:t>Структура видатків за статтями</a:t>
            </a:r>
          </a:p>
        </c:rich>
      </c:tx>
      <c:layout>
        <c:manualLayout>
          <c:xMode val="factor"/>
          <c:yMode val="factor"/>
          <c:x val="-0.021"/>
          <c:y val="-0.00475"/>
        </c:manualLayout>
      </c:layout>
      <c:spPr>
        <a:noFill/>
        <a:ln>
          <a:noFill/>
        </a:ln>
      </c:spPr>
    </c:title>
    <c:view3D>
      <c:rotX val="40"/>
      <c:hPercent val="100"/>
      <c:rotY val="210"/>
      <c:depthPercent val="100"/>
      <c:rAngAx val="1"/>
    </c:view3D>
    <c:plotArea>
      <c:layout>
        <c:manualLayout>
          <c:xMode val="edge"/>
          <c:yMode val="edge"/>
          <c:x val="0.31225"/>
          <c:y val="0.1625"/>
          <c:w val="0.36475"/>
          <c:h val="0.49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5"/>
            <c:explosion val="27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5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'березень 19'!$B$79:$B$85</c:f>
              <c:strCache/>
            </c:strRef>
          </c:cat>
          <c:val>
            <c:numRef>
              <c:f>'березень 19'!$AA$79:$AA$85</c:f>
              <c:numCache/>
            </c:numRef>
          </c:val>
        </c:ser>
        <c:firstSliceAng val="210"/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85"/>
          <c:y val="0.848"/>
          <c:w val="0.85925"/>
          <c:h val="0.09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84</xdr:row>
      <xdr:rowOff>104775</xdr:rowOff>
    </xdr:from>
    <xdr:to>
      <xdr:col>17</xdr:col>
      <xdr:colOff>400050</xdr:colOff>
      <xdr:row>117</xdr:row>
      <xdr:rowOff>66675</xdr:rowOff>
    </xdr:to>
    <xdr:graphicFrame>
      <xdr:nvGraphicFramePr>
        <xdr:cNvPr id="1" name="Диаграмма 1"/>
        <xdr:cNvGraphicFramePr/>
      </xdr:nvGraphicFramePr>
      <xdr:xfrm>
        <a:off x="723900" y="1789747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619125</xdr:colOff>
      <xdr:row>84</xdr:row>
      <xdr:rowOff>133350</xdr:rowOff>
    </xdr:from>
    <xdr:to>
      <xdr:col>33</xdr:col>
      <xdr:colOff>285750</xdr:colOff>
      <xdr:row>117</xdr:row>
      <xdr:rowOff>19050</xdr:rowOff>
    </xdr:to>
    <xdr:graphicFrame>
      <xdr:nvGraphicFramePr>
        <xdr:cNvPr id="2" name="Диаграмма 4"/>
        <xdr:cNvGraphicFramePr/>
      </xdr:nvGraphicFramePr>
      <xdr:xfrm>
        <a:off x="13716000" y="17926050"/>
        <a:ext cx="11449050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647700</xdr:colOff>
      <xdr:row>122</xdr:row>
      <xdr:rowOff>85725</xdr:rowOff>
    </xdr:from>
    <xdr:to>
      <xdr:col>23</xdr:col>
      <xdr:colOff>152400</xdr:colOff>
      <xdr:row>156</xdr:row>
      <xdr:rowOff>142875</xdr:rowOff>
    </xdr:to>
    <xdr:graphicFrame>
      <xdr:nvGraphicFramePr>
        <xdr:cNvPr id="3" name="Диаграмма 10"/>
        <xdr:cNvGraphicFramePr/>
      </xdr:nvGraphicFramePr>
      <xdr:xfrm>
        <a:off x="647700" y="24164925"/>
        <a:ext cx="16602075" cy="5610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23</xdr:col>
      <xdr:colOff>428625</xdr:colOff>
      <xdr:row>122</xdr:row>
      <xdr:rowOff>104775</xdr:rowOff>
    </xdr:from>
    <xdr:to>
      <xdr:col>39</xdr:col>
      <xdr:colOff>171450</xdr:colOff>
      <xdr:row>156</xdr:row>
      <xdr:rowOff>171450</xdr:rowOff>
    </xdr:to>
    <xdr:graphicFrame>
      <xdr:nvGraphicFramePr>
        <xdr:cNvPr id="4" name="Диаграмма 1"/>
        <xdr:cNvGraphicFramePr/>
      </xdr:nvGraphicFramePr>
      <xdr:xfrm>
        <a:off x="17526000" y="24164925"/>
        <a:ext cx="11811000" cy="5610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61210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88</xdr:row>
      <xdr:rowOff>123825</xdr:rowOff>
    </xdr:from>
    <xdr:to>
      <xdr:col>33</xdr:col>
      <xdr:colOff>257175</xdr:colOff>
      <xdr:row>121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63115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696527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600075</xdr:colOff>
      <xdr:row>126</xdr:row>
      <xdr:rowOff>152400</xdr:rowOff>
    </xdr:from>
    <xdr:to>
      <xdr:col>33</xdr:col>
      <xdr:colOff>304800</xdr:colOff>
      <xdr:row>160</xdr:row>
      <xdr:rowOff>85725</xdr:rowOff>
    </xdr:to>
    <xdr:graphicFrame>
      <xdr:nvGraphicFramePr>
        <xdr:cNvPr id="4" name="Диаграмма 1"/>
        <xdr:cNvGraphicFramePr/>
      </xdr:nvGraphicFramePr>
      <xdr:xfrm>
        <a:off x="13696950" y="26965275"/>
        <a:ext cx="10820400" cy="5476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88</xdr:row>
      <xdr:rowOff>104775</xdr:rowOff>
    </xdr:from>
    <xdr:to>
      <xdr:col>17</xdr:col>
      <xdr:colOff>400050</xdr:colOff>
      <xdr:row>121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1345525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89</xdr:row>
      <xdr:rowOff>95250</xdr:rowOff>
    </xdr:from>
    <xdr:to>
      <xdr:col>33</xdr:col>
      <xdr:colOff>257175</xdr:colOff>
      <xdr:row>122</xdr:row>
      <xdr:rowOff>76200</xdr:rowOff>
    </xdr:to>
    <xdr:graphicFrame>
      <xdr:nvGraphicFramePr>
        <xdr:cNvPr id="2" name="Диаграмма 4"/>
        <xdr:cNvGraphicFramePr/>
      </xdr:nvGraphicFramePr>
      <xdr:xfrm>
        <a:off x="13696950" y="21555075"/>
        <a:ext cx="10772775" cy="543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127</xdr:row>
      <xdr:rowOff>19050</xdr:rowOff>
    </xdr:from>
    <xdr:to>
      <xdr:col>17</xdr:col>
      <xdr:colOff>485775</xdr:colOff>
      <xdr:row>160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774900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127</xdr:row>
      <xdr:rowOff>19050</xdr:rowOff>
    </xdr:from>
    <xdr:to>
      <xdr:col>33</xdr:col>
      <xdr:colOff>390525</xdr:colOff>
      <xdr:row>160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765375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87</xdr:row>
      <xdr:rowOff>104775</xdr:rowOff>
    </xdr:from>
    <xdr:to>
      <xdr:col>17</xdr:col>
      <xdr:colOff>400050</xdr:colOff>
      <xdr:row>120</xdr:row>
      <xdr:rowOff>66675</xdr:rowOff>
    </xdr:to>
    <xdr:graphicFrame>
      <xdr:nvGraphicFramePr>
        <xdr:cNvPr id="1" name="Диаграмма 1"/>
        <xdr:cNvGraphicFramePr/>
      </xdr:nvGraphicFramePr>
      <xdr:xfrm>
        <a:off x="723900" y="20974050"/>
        <a:ext cx="1277302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600075</xdr:colOff>
      <xdr:row>87</xdr:row>
      <xdr:rowOff>123825</xdr:rowOff>
    </xdr:from>
    <xdr:to>
      <xdr:col>33</xdr:col>
      <xdr:colOff>257175</xdr:colOff>
      <xdr:row>120</xdr:row>
      <xdr:rowOff>104775</xdr:rowOff>
    </xdr:to>
    <xdr:graphicFrame>
      <xdr:nvGraphicFramePr>
        <xdr:cNvPr id="2" name="Диаграмма 4"/>
        <xdr:cNvGraphicFramePr/>
      </xdr:nvGraphicFramePr>
      <xdr:xfrm>
        <a:off x="13696950" y="20993100"/>
        <a:ext cx="10772775" cy="5400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752475</xdr:colOff>
      <xdr:row>126</xdr:row>
      <xdr:rowOff>19050</xdr:rowOff>
    </xdr:from>
    <xdr:to>
      <xdr:col>17</xdr:col>
      <xdr:colOff>485775</xdr:colOff>
      <xdr:row>159</xdr:row>
      <xdr:rowOff>104775</xdr:rowOff>
    </xdr:to>
    <xdr:graphicFrame>
      <xdr:nvGraphicFramePr>
        <xdr:cNvPr id="3" name="Диаграмма 10"/>
        <xdr:cNvGraphicFramePr/>
      </xdr:nvGraphicFramePr>
      <xdr:xfrm>
        <a:off x="752475" y="27327225"/>
        <a:ext cx="12830175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19050</xdr:colOff>
      <xdr:row>126</xdr:row>
      <xdr:rowOff>19050</xdr:rowOff>
    </xdr:from>
    <xdr:to>
      <xdr:col>33</xdr:col>
      <xdr:colOff>390525</xdr:colOff>
      <xdr:row>159</xdr:row>
      <xdr:rowOff>123825</xdr:rowOff>
    </xdr:to>
    <xdr:graphicFrame>
      <xdr:nvGraphicFramePr>
        <xdr:cNvPr id="4" name="Диаграмма 1"/>
        <xdr:cNvGraphicFramePr/>
      </xdr:nvGraphicFramePr>
      <xdr:xfrm>
        <a:off x="13782675" y="27317700"/>
        <a:ext cx="108204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3:AN166"/>
  <sheetViews>
    <sheetView view="pageBreakPreview" zoomScale="85" zoomScaleNormal="70" zoomScaleSheetLayoutView="85" workbookViewId="0" topLeftCell="B2">
      <pane xSplit="4755" ySplit="2745" topLeftCell="AA56" activePane="bottomRight" state="split"/>
      <selection pane="topLeft" activeCell="AC30" sqref="AC30"/>
      <selection pane="topRight" activeCell="AB2" sqref="AB1:AB16384"/>
      <selection pane="bottomLeft" activeCell="B21" sqref="B21"/>
      <selection pane="bottomRight" activeCell="AF73" sqref="AF73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4" width="8.75390625" style="4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65" customWidth="1"/>
    <col min="31" max="31" width="14.625" style="65" customWidth="1"/>
    <col min="32" max="32" width="9.375" style="57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59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64"/>
      <c r="AE3" s="64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2</v>
      </c>
      <c r="E5" s="5">
        <v>3</v>
      </c>
      <c r="F5" s="5">
        <v>4</v>
      </c>
      <c r="G5" s="5">
        <v>8</v>
      </c>
      <c r="H5" s="5">
        <v>9</v>
      </c>
      <c r="I5" s="5">
        <v>10</v>
      </c>
      <c r="J5" s="6">
        <v>11</v>
      </c>
      <c r="K5" s="5">
        <v>14</v>
      </c>
      <c r="L5" s="5">
        <v>15</v>
      </c>
      <c r="M5" s="5">
        <v>16</v>
      </c>
      <c r="N5" s="5">
        <v>17</v>
      </c>
      <c r="O5" s="5">
        <v>18</v>
      </c>
      <c r="P5" s="5">
        <v>21</v>
      </c>
      <c r="Q5" s="5">
        <v>22</v>
      </c>
      <c r="R5" s="5">
        <v>23</v>
      </c>
      <c r="S5" s="5">
        <v>24</v>
      </c>
      <c r="T5" s="5">
        <v>25</v>
      </c>
      <c r="U5" s="5">
        <v>28</v>
      </c>
      <c r="V5" s="6">
        <v>29</v>
      </c>
      <c r="W5" s="5">
        <v>30</v>
      </c>
      <c r="X5" s="6">
        <v>31</v>
      </c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/>
      <c r="E7" s="7">
        <v>1800.2</v>
      </c>
      <c r="F7" s="7"/>
      <c r="G7" s="7"/>
      <c r="H7" s="7"/>
      <c r="I7" s="7"/>
      <c r="J7" s="8">
        <v>1800.1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16088.900000000001</v>
      </c>
      <c r="D8" s="37">
        <f aca="true" t="shared" si="1" ref="D8:Y8">SUM(D9:D16)</f>
        <v>0</v>
      </c>
      <c r="E8" s="37">
        <f t="shared" si="1"/>
        <v>339.5</v>
      </c>
      <c r="F8" s="37">
        <f t="shared" si="1"/>
        <v>1589.8000000000002</v>
      </c>
      <c r="G8" s="37">
        <f t="shared" si="1"/>
        <v>370.3</v>
      </c>
      <c r="H8" s="37">
        <f t="shared" si="1"/>
        <v>836.8000000000001</v>
      </c>
      <c r="I8" s="37">
        <f>SUM(I9:I16)</f>
        <v>547.5</v>
      </c>
      <c r="J8" s="37">
        <f t="shared" si="1"/>
        <v>1209.6000000000001</v>
      </c>
      <c r="K8" s="37">
        <f>SUM(K9:K16)</f>
        <v>451.5</v>
      </c>
      <c r="L8" s="37">
        <f t="shared" si="1"/>
        <v>832</v>
      </c>
      <c r="M8" s="37">
        <f t="shared" si="1"/>
        <v>606.2</v>
      </c>
      <c r="N8" s="37">
        <f t="shared" si="1"/>
        <v>710.4000000000001</v>
      </c>
      <c r="O8" s="37">
        <f t="shared" si="1"/>
        <v>683.5999999999999</v>
      </c>
      <c r="P8" s="37">
        <f t="shared" si="1"/>
        <v>1165.1</v>
      </c>
      <c r="Q8" s="37">
        <f t="shared" si="1"/>
        <v>835.1999999999999</v>
      </c>
      <c r="R8" s="37">
        <f t="shared" si="1"/>
        <v>830.3</v>
      </c>
      <c r="S8" s="37">
        <f>SUM(S9:S16)</f>
        <v>372.29999999999995</v>
      </c>
      <c r="T8" s="37">
        <f>SUM(T9:T16)</f>
        <v>1919.9000000000003</v>
      </c>
      <c r="U8" s="37">
        <f t="shared" si="1"/>
        <v>1131.2</v>
      </c>
      <c r="V8" s="37">
        <f t="shared" si="1"/>
        <v>785.6</v>
      </c>
      <c r="W8" s="37">
        <f t="shared" si="1"/>
        <v>526.4</v>
      </c>
      <c r="X8" s="37">
        <f t="shared" si="1"/>
        <v>345.7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8788.3</v>
      </c>
      <c r="D9" s="40"/>
      <c r="E9" s="8">
        <v>110.7</v>
      </c>
      <c r="F9" s="8">
        <v>1469.3</v>
      </c>
      <c r="G9" s="8">
        <v>228.2</v>
      </c>
      <c r="H9" s="8">
        <v>43.4</v>
      </c>
      <c r="I9" s="8">
        <v>379</v>
      </c>
      <c r="J9" s="8">
        <v>1019.2</v>
      </c>
      <c r="K9" s="8">
        <v>231</v>
      </c>
      <c r="L9" s="8">
        <v>535.5</v>
      </c>
      <c r="M9" s="8">
        <v>404.6</v>
      </c>
      <c r="N9" s="8">
        <v>272.1</v>
      </c>
      <c r="O9" s="8">
        <v>348.9</v>
      </c>
      <c r="P9" s="8">
        <v>986</v>
      </c>
      <c r="Q9" s="8">
        <v>554.3</v>
      </c>
      <c r="R9" s="43">
        <v>298.7</v>
      </c>
      <c r="S9" s="43">
        <v>106.8</v>
      </c>
      <c r="T9" s="8">
        <v>479.7</v>
      </c>
      <c r="U9" s="43">
        <v>473.6</v>
      </c>
      <c r="V9" s="8">
        <v>285.5</v>
      </c>
      <c r="W9" s="8">
        <v>290.8</v>
      </c>
      <c r="X9" s="8">
        <v>271</v>
      </c>
      <c r="Y9" s="8"/>
      <c r="Z9" s="8"/>
      <c r="AA9" s="40"/>
      <c r="AB9" s="63"/>
      <c r="AD9" s="66"/>
      <c r="AE9" s="67"/>
      <c r="AF9" s="5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67"/>
      <c r="AE10" s="67"/>
      <c r="AF10" s="5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378.90000000000003</v>
      </c>
      <c r="D11" s="40"/>
      <c r="E11" s="8">
        <v>0.9</v>
      </c>
      <c r="F11" s="8">
        <v>0.4</v>
      </c>
      <c r="G11" s="8">
        <v>2.6</v>
      </c>
      <c r="H11" s="8">
        <v>23.1</v>
      </c>
      <c r="I11" s="8">
        <v>0.1</v>
      </c>
      <c r="J11" s="8">
        <v>5.2</v>
      </c>
      <c r="K11" s="8">
        <v>1</v>
      </c>
      <c r="L11" s="8">
        <v>3.1</v>
      </c>
      <c r="M11" s="8">
        <v>2.6</v>
      </c>
      <c r="N11" s="8">
        <v>3.8</v>
      </c>
      <c r="O11" s="8">
        <v>5.3</v>
      </c>
      <c r="P11" s="8">
        <v>20.2</v>
      </c>
      <c r="Q11" s="8">
        <v>9.5</v>
      </c>
      <c r="R11" s="43">
        <v>3.6</v>
      </c>
      <c r="S11" s="43">
        <v>89.3</v>
      </c>
      <c r="T11" s="8">
        <v>99.5</v>
      </c>
      <c r="U11" s="43">
        <v>67.7</v>
      </c>
      <c r="V11" s="8">
        <v>6.1</v>
      </c>
      <c r="W11" s="8">
        <v>34.6</v>
      </c>
      <c r="X11" s="8">
        <v>0.3</v>
      </c>
      <c r="Y11" s="8"/>
      <c r="Z11" s="8"/>
      <c r="AA11" s="40"/>
      <c r="AB11" s="63"/>
      <c r="AD11" s="67"/>
      <c r="AE11" s="67"/>
      <c r="AF11" s="5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1899.1</v>
      </c>
      <c r="D12" s="40"/>
      <c r="E12" s="8">
        <v>2.7</v>
      </c>
      <c r="F12" s="8"/>
      <c r="G12" s="8">
        <v>1.4</v>
      </c>
      <c r="H12" s="8">
        <v>430</v>
      </c>
      <c r="I12" s="8">
        <v>25.3</v>
      </c>
      <c r="J12" s="8"/>
      <c r="K12" s="8">
        <v>8.6</v>
      </c>
      <c r="L12" s="8">
        <v>5.5</v>
      </c>
      <c r="M12" s="8">
        <v>14</v>
      </c>
      <c r="N12" s="8">
        <v>71.1</v>
      </c>
      <c r="O12" s="8">
        <v>12.5</v>
      </c>
      <c r="P12" s="8">
        <v>10.7</v>
      </c>
      <c r="Q12" s="8">
        <v>86.3</v>
      </c>
      <c r="R12" s="43">
        <v>76.8</v>
      </c>
      <c r="S12" s="43">
        <v>54.9</v>
      </c>
      <c r="T12" s="8">
        <v>774.1</v>
      </c>
      <c r="U12" s="43">
        <v>211</v>
      </c>
      <c r="V12" s="8">
        <v>112.1</v>
      </c>
      <c r="W12" s="8">
        <v>1.8</v>
      </c>
      <c r="X12" s="8">
        <v>0.3</v>
      </c>
      <c r="Y12" s="8"/>
      <c r="Z12" s="8"/>
      <c r="AA12" s="40"/>
      <c r="AB12" s="63"/>
      <c r="AD12" s="66"/>
      <c r="AE12" s="67"/>
      <c r="AF12" s="5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1927.7000000000003</v>
      </c>
      <c r="D13" s="40"/>
      <c r="E13" s="8">
        <v>139.2</v>
      </c>
      <c r="F13" s="8">
        <v>16.7</v>
      </c>
      <c r="G13" s="8">
        <v>2.4</v>
      </c>
      <c r="H13" s="8">
        <v>8</v>
      </c>
      <c r="I13" s="8">
        <v>4</v>
      </c>
      <c r="J13" s="8">
        <v>6</v>
      </c>
      <c r="K13" s="8">
        <v>21.9</v>
      </c>
      <c r="L13" s="8">
        <v>26.8</v>
      </c>
      <c r="M13" s="8">
        <v>13.7</v>
      </c>
      <c r="N13" s="8">
        <v>107.1</v>
      </c>
      <c r="O13" s="8">
        <v>72.3</v>
      </c>
      <c r="P13" s="8">
        <v>40.6</v>
      </c>
      <c r="Q13" s="8">
        <v>56.5</v>
      </c>
      <c r="R13" s="43">
        <v>307.2</v>
      </c>
      <c r="S13" s="43">
        <v>63.2</v>
      </c>
      <c r="T13" s="8">
        <v>402.7</v>
      </c>
      <c r="U13" s="43">
        <v>310.2</v>
      </c>
      <c r="V13" s="8">
        <v>204.3</v>
      </c>
      <c r="W13" s="8">
        <v>121.7</v>
      </c>
      <c r="X13" s="8">
        <v>3.2</v>
      </c>
      <c r="Y13" s="8"/>
      <c r="Z13" s="8"/>
      <c r="AA13" s="40"/>
      <c r="AB13" s="63"/>
      <c r="AD13" s="66"/>
      <c r="AE13" s="67"/>
      <c r="AF13" s="5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2489.2999999999997</v>
      </c>
      <c r="D14" s="40"/>
      <c r="E14" s="8">
        <v>71</v>
      </c>
      <c r="F14" s="8">
        <v>87.3</v>
      </c>
      <c r="G14" s="8">
        <v>117.5</v>
      </c>
      <c r="H14" s="8">
        <v>319.2</v>
      </c>
      <c r="I14" s="8">
        <v>113.2</v>
      </c>
      <c r="J14" s="8">
        <v>82.4</v>
      </c>
      <c r="K14" s="8">
        <v>165.7</v>
      </c>
      <c r="L14" s="8">
        <v>237.8</v>
      </c>
      <c r="M14" s="8">
        <v>151.3</v>
      </c>
      <c r="N14" s="8">
        <v>214</v>
      </c>
      <c r="O14" s="8">
        <v>212.3</v>
      </c>
      <c r="P14" s="8">
        <v>83.6</v>
      </c>
      <c r="Q14" s="8">
        <v>68.4</v>
      </c>
      <c r="R14" s="43">
        <v>125.7</v>
      </c>
      <c r="S14" s="43">
        <v>40.4</v>
      </c>
      <c r="T14" s="8">
        <v>141.7</v>
      </c>
      <c r="U14" s="43">
        <v>40.3</v>
      </c>
      <c r="V14" s="8">
        <v>147.4</v>
      </c>
      <c r="W14" s="8">
        <v>53.7</v>
      </c>
      <c r="X14" s="8">
        <v>16.4</v>
      </c>
      <c r="Y14" s="8"/>
      <c r="Z14" s="8"/>
      <c r="AA14" s="40"/>
      <c r="AB14" s="63"/>
      <c r="AD14" s="66"/>
      <c r="AE14" s="67"/>
      <c r="AF14" s="5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229.50000000000003</v>
      </c>
      <c r="D15" s="40"/>
      <c r="E15" s="8">
        <v>7.9</v>
      </c>
      <c r="F15" s="8">
        <v>10.7</v>
      </c>
      <c r="G15" s="8">
        <v>7.8</v>
      </c>
      <c r="H15" s="8">
        <v>6.9</v>
      </c>
      <c r="I15" s="8">
        <v>18.3</v>
      </c>
      <c r="J15" s="8">
        <v>11.6</v>
      </c>
      <c r="K15" s="8">
        <v>9.8</v>
      </c>
      <c r="L15" s="8">
        <v>13.9</v>
      </c>
      <c r="M15" s="8">
        <v>13.1</v>
      </c>
      <c r="N15" s="8">
        <v>11.2</v>
      </c>
      <c r="O15" s="8">
        <v>10.9</v>
      </c>
      <c r="P15" s="8">
        <v>11.8</v>
      </c>
      <c r="Q15" s="8">
        <v>9.7</v>
      </c>
      <c r="R15" s="43">
        <v>14.4</v>
      </c>
      <c r="S15" s="43">
        <v>16.2</v>
      </c>
      <c r="T15" s="8">
        <v>5.3</v>
      </c>
      <c r="U15" s="43">
        <v>10.5</v>
      </c>
      <c r="V15" s="8">
        <v>12</v>
      </c>
      <c r="W15" s="8">
        <v>15.3</v>
      </c>
      <c r="X15" s="8">
        <v>12.2</v>
      </c>
      <c r="Y15" s="8"/>
      <c r="Z15" s="8"/>
      <c r="AA15" s="40"/>
      <c r="AB15" s="63"/>
      <c r="AD15" s="66"/>
      <c r="AE15" s="67"/>
      <c r="AF15" s="5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376.0999999999999</v>
      </c>
      <c r="D16" s="40"/>
      <c r="E16" s="8">
        <v>7.1</v>
      </c>
      <c r="F16" s="8">
        <v>5.4</v>
      </c>
      <c r="G16" s="8">
        <v>10.4</v>
      </c>
      <c r="H16" s="8">
        <v>6.2</v>
      </c>
      <c r="I16" s="8">
        <v>7.6</v>
      </c>
      <c r="J16" s="8">
        <v>85.2</v>
      </c>
      <c r="K16" s="8">
        <v>13.5</v>
      </c>
      <c r="L16" s="8">
        <v>9.4</v>
      </c>
      <c r="M16" s="8">
        <v>6.9</v>
      </c>
      <c r="N16" s="8">
        <v>31.1</v>
      </c>
      <c r="O16" s="8">
        <v>21.4</v>
      </c>
      <c r="P16" s="8">
        <v>12.2</v>
      </c>
      <c r="Q16" s="8">
        <v>50.5</v>
      </c>
      <c r="R16" s="43">
        <v>3.9</v>
      </c>
      <c r="S16" s="43">
        <v>1.5</v>
      </c>
      <c r="T16" s="8">
        <v>16.9</v>
      </c>
      <c r="U16" s="43">
        <v>17.9</v>
      </c>
      <c r="V16" s="8">
        <v>18.2</v>
      </c>
      <c r="W16" s="8">
        <v>8.5</v>
      </c>
      <c r="X16" s="43">
        <v>42.3</v>
      </c>
      <c r="Y16" s="8"/>
      <c r="Z16" s="8"/>
      <c r="AA16" s="40"/>
      <c r="AB16" s="52"/>
      <c r="AD16" s="66"/>
      <c r="AE16" s="67"/>
      <c r="AF16" s="5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19689.2</v>
      </c>
      <c r="D17" s="22">
        <f>SUM(D6:D8)</f>
        <v>0</v>
      </c>
      <c r="E17" s="22">
        <f aca="true" t="shared" si="2" ref="E17:Y17">SUM(E6:E8)</f>
        <v>2139.7</v>
      </c>
      <c r="F17" s="22">
        <f t="shared" si="2"/>
        <v>1589.8000000000002</v>
      </c>
      <c r="G17" s="22">
        <f t="shared" si="2"/>
        <v>370.3</v>
      </c>
      <c r="H17" s="22">
        <f t="shared" si="2"/>
        <v>836.8000000000001</v>
      </c>
      <c r="I17" s="22">
        <f t="shared" si="2"/>
        <v>547.5</v>
      </c>
      <c r="J17" s="22">
        <f t="shared" si="2"/>
        <v>3009.7</v>
      </c>
      <c r="K17" s="22">
        <f t="shared" si="2"/>
        <v>451.5</v>
      </c>
      <c r="L17" s="22">
        <f t="shared" si="2"/>
        <v>832</v>
      </c>
      <c r="M17" s="22">
        <f>SUM(M6:M8)</f>
        <v>606.2</v>
      </c>
      <c r="N17" s="22">
        <f t="shared" si="2"/>
        <v>710.4000000000001</v>
      </c>
      <c r="O17" s="22">
        <f t="shared" si="2"/>
        <v>683.5999999999999</v>
      </c>
      <c r="P17" s="22">
        <f t="shared" si="2"/>
        <v>1165.1</v>
      </c>
      <c r="Q17" s="22">
        <f t="shared" si="2"/>
        <v>835.1999999999999</v>
      </c>
      <c r="R17" s="22">
        <f t="shared" si="2"/>
        <v>830.3</v>
      </c>
      <c r="S17" s="22">
        <f t="shared" si="2"/>
        <v>372.29999999999995</v>
      </c>
      <c r="T17" s="22">
        <f>SUM(T6:T8)</f>
        <v>1919.9000000000003</v>
      </c>
      <c r="U17" s="22">
        <f t="shared" si="2"/>
        <v>1131.2</v>
      </c>
      <c r="V17" s="22">
        <f t="shared" si="2"/>
        <v>785.6</v>
      </c>
      <c r="W17" s="22">
        <f t="shared" si="2"/>
        <v>526.4</v>
      </c>
      <c r="X17" s="22">
        <f t="shared" si="2"/>
        <v>345.7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64"/>
      <c r="AE17" s="64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C19+C23+C29+C31+C32+C33+C34+C40+C44+C48+C51+C56+C62+C66+C70+C71+C72+C73</f>
        <v>22218.796000000006</v>
      </c>
      <c r="D18" s="24">
        <f aca="true" t="shared" si="3" ref="D18:AA18">D19+D23+D29+D31+D32+D33+D34+D40+D44+D48+D51+D56+D62+D66+D70+D71+D72+D73</f>
        <v>0</v>
      </c>
      <c r="E18" s="24">
        <f t="shared" si="3"/>
        <v>0</v>
      </c>
      <c r="F18" s="24">
        <f t="shared" si="3"/>
        <v>0</v>
      </c>
      <c r="G18" s="24">
        <f t="shared" si="3"/>
        <v>0</v>
      </c>
      <c r="H18" s="24">
        <f t="shared" si="3"/>
        <v>0</v>
      </c>
      <c r="I18" s="24">
        <f t="shared" si="3"/>
        <v>1231.9</v>
      </c>
      <c r="J18" s="24">
        <f t="shared" si="3"/>
        <v>369.974</v>
      </c>
      <c r="K18" s="24">
        <f t="shared" si="3"/>
        <v>1370.9499999999998</v>
      </c>
      <c r="L18" s="24">
        <f t="shared" si="3"/>
        <v>2369.6359999999995</v>
      </c>
      <c r="M18" s="24">
        <f t="shared" si="3"/>
        <v>1972.6190000000001</v>
      </c>
      <c r="N18" s="24">
        <f t="shared" si="3"/>
        <v>0</v>
      </c>
      <c r="O18" s="24">
        <f t="shared" si="3"/>
        <v>544.987</v>
      </c>
      <c r="P18" s="24">
        <f t="shared" si="3"/>
        <v>9.883</v>
      </c>
      <c r="Q18" s="24">
        <f t="shared" si="3"/>
        <v>3.783</v>
      </c>
      <c r="R18" s="24">
        <f t="shared" si="3"/>
        <v>965.263</v>
      </c>
      <c r="S18" s="24">
        <f t="shared" si="3"/>
        <v>3271.1879999999996</v>
      </c>
      <c r="T18" s="24">
        <f t="shared" si="3"/>
        <v>2562.62</v>
      </c>
      <c r="U18" s="24">
        <f t="shared" si="3"/>
        <v>928.1819999999999</v>
      </c>
      <c r="V18" s="24">
        <f t="shared" si="3"/>
        <v>44.342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15645.326999999997</v>
      </c>
      <c r="AB18" s="53">
        <f aca="true" t="shared" si="4" ref="AB18:AB64">AA18-C18</f>
        <v>-6573.469000000008</v>
      </c>
      <c r="AD18" s="64"/>
      <c r="AE18" s="64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3148.16</v>
      </c>
      <c r="D19" s="18">
        <f t="shared" si="5"/>
        <v>0</v>
      </c>
      <c r="E19" s="18">
        <f t="shared" si="5"/>
        <v>0</v>
      </c>
      <c r="F19" s="18">
        <f t="shared" si="5"/>
        <v>0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246.862</v>
      </c>
      <c r="K19" s="18">
        <f t="shared" si="5"/>
        <v>740.507</v>
      </c>
      <c r="L19" s="18">
        <f t="shared" si="5"/>
        <v>14.005</v>
      </c>
      <c r="M19" s="18">
        <f t="shared" si="5"/>
        <v>0</v>
      </c>
      <c r="N19" s="18">
        <f t="shared" si="5"/>
        <v>0</v>
      </c>
      <c r="O19" s="18">
        <f t="shared" si="5"/>
        <v>50.004</v>
      </c>
      <c r="P19" s="18">
        <f t="shared" si="5"/>
        <v>0.7</v>
      </c>
      <c r="Q19" s="18">
        <f t="shared" si="5"/>
        <v>1.068</v>
      </c>
      <c r="R19" s="18">
        <f t="shared" si="5"/>
        <v>67.811</v>
      </c>
      <c r="S19" s="18">
        <f t="shared" si="5"/>
        <v>1033.355</v>
      </c>
      <c r="T19" s="18">
        <f>SUM(T20:T22)</f>
        <v>277.699</v>
      </c>
      <c r="U19" s="18">
        <f t="shared" si="5"/>
        <v>41.047999999999995</v>
      </c>
      <c r="V19" s="18">
        <f t="shared" si="5"/>
        <v>24.724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2497.783</v>
      </c>
      <c r="AB19" s="53">
        <f t="shared" si="4"/>
        <v>-650.377</v>
      </c>
      <c r="AD19" s="65"/>
      <c r="AE19" s="64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2524.02+25.5+11+2.72</f>
        <v>2563.24</v>
      </c>
      <c r="D20" s="7"/>
      <c r="E20" s="7"/>
      <c r="F20" s="7"/>
      <c r="G20" s="7"/>
      <c r="H20" s="7"/>
      <c r="I20" s="7"/>
      <c r="J20" s="8">
        <v>244.994</v>
      </c>
      <c r="K20" s="7">
        <v>740.5</v>
      </c>
      <c r="L20" s="7">
        <v>13.855</v>
      </c>
      <c r="M20" s="7"/>
      <c r="N20" s="7"/>
      <c r="O20" s="7"/>
      <c r="P20" s="7"/>
      <c r="Q20" s="7"/>
      <c r="R20" s="7">
        <v>42.859</v>
      </c>
      <c r="S20" s="7">
        <f>848.76+132.367</f>
        <v>981.127</v>
      </c>
      <c r="T20" s="7">
        <v>277.699</v>
      </c>
      <c r="U20" s="7">
        <v>38.583</v>
      </c>
      <c r="V20" s="8"/>
      <c r="W20" s="8"/>
      <c r="X20" s="8"/>
      <c r="Y20" s="7"/>
      <c r="Z20" s="7"/>
      <c r="AA20" s="7">
        <f>SUM(D20:Z20)</f>
        <v>2339.617</v>
      </c>
      <c r="AB20" s="53">
        <f t="shared" si="4"/>
        <v>-223.6229999999996</v>
      </c>
      <c r="AD20" s="64" t="s">
        <v>48</v>
      </c>
      <c r="AE20" s="68">
        <f>AA19</f>
        <v>2497.783</v>
      </c>
    </row>
    <row r="21" spans="2:31" ht="15.75">
      <c r="B21" s="3" t="s">
        <v>1</v>
      </c>
      <c r="C21" s="23">
        <f>299.3-11</f>
        <v>288.3</v>
      </c>
      <c r="D21" s="7"/>
      <c r="E21" s="7"/>
      <c r="F21" s="7"/>
      <c r="G21" s="7"/>
      <c r="H21" s="7"/>
      <c r="I21" s="7"/>
      <c r="J21" s="8"/>
      <c r="K21" s="7"/>
      <c r="L21" s="7"/>
      <c r="M21" s="7"/>
      <c r="N21" s="7"/>
      <c r="O21" s="7"/>
      <c r="P21" s="7"/>
      <c r="Q21" s="7">
        <v>0.201</v>
      </c>
      <c r="R21" s="7"/>
      <c r="S21" s="7">
        <v>0.045</v>
      </c>
      <c r="T21" s="7"/>
      <c r="U21" s="7">
        <v>0.428</v>
      </c>
      <c r="V21" s="8">
        <v>0.354</v>
      </c>
      <c r="W21" s="8"/>
      <c r="X21" s="8"/>
      <c r="Y21" s="7"/>
      <c r="Z21" s="7"/>
      <c r="AA21" s="7">
        <f>SUM(D21:Z21)</f>
        <v>1.028</v>
      </c>
      <c r="AB21" s="53">
        <f t="shared" si="4"/>
        <v>-287.272</v>
      </c>
      <c r="AD21" s="64" t="s">
        <v>15</v>
      </c>
      <c r="AE21" s="68">
        <f>AA23</f>
        <v>8359.530999999999</v>
      </c>
    </row>
    <row r="22" spans="2:31" ht="15.75">
      <c r="B22" s="3" t="s">
        <v>5</v>
      </c>
      <c r="C22" s="23">
        <v>296.62</v>
      </c>
      <c r="D22" s="7"/>
      <c r="E22" s="7"/>
      <c r="F22" s="7"/>
      <c r="G22" s="7"/>
      <c r="H22" s="7"/>
      <c r="I22" s="7"/>
      <c r="J22" s="7">
        <v>1.868</v>
      </c>
      <c r="K22" s="7">
        <v>0.007</v>
      </c>
      <c r="L22" s="7">
        <v>0.15</v>
      </c>
      <c r="M22" s="7"/>
      <c r="N22" s="7"/>
      <c r="O22" s="7">
        <v>50.004</v>
      </c>
      <c r="P22" s="7">
        <v>0.7</v>
      </c>
      <c r="Q22" s="7">
        <v>0.867</v>
      </c>
      <c r="R22" s="7">
        <v>24.952</v>
      </c>
      <c r="S22" s="7">
        <v>52.183</v>
      </c>
      <c r="T22" s="7"/>
      <c r="U22" s="7">
        <v>2.037</v>
      </c>
      <c r="V22" s="7">
        <v>24.37</v>
      </c>
      <c r="W22" s="7"/>
      <c r="X22" s="7"/>
      <c r="Y22" s="7"/>
      <c r="Z22" s="7"/>
      <c r="AA22" s="7">
        <f>SUM(D22:Z22)</f>
        <v>157.138</v>
      </c>
      <c r="AB22" s="53">
        <f t="shared" si="4"/>
        <v>-139.482</v>
      </c>
      <c r="AD22" s="64" t="s">
        <v>52</v>
      </c>
      <c r="AE22" s="68">
        <f>$AA$29</f>
        <v>209.896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11926.928000000002</v>
      </c>
      <c r="D23" s="18">
        <f t="shared" si="6"/>
        <v>0</v>
      </c>
      <c r="E23" s="18">
        <f t="shared" si="6"/>
        <v>0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123.112</v>
      </c>
      <c r="K23" s="18">
        <f t="shared" si="6"/>
        <v>537.217</v>
      </c>
      <c r="L23" s="18">
        <f t="shared" si="6"/>
        <v>1718.1509999999998</v>
      </c>
      <c r="M23" s="18">
        <f t="shared" si="6"/>
        <v>704.815</v>
      </c>
      <c r="N23" s="18">
        <f t="shared" si="6"/>
        <v>0</v>
      </c>
      <c r="O23" s="18">
        <f t="shared" si="6"/>
        <v>0.818</v>
      </c>
      <c r="P23" s="18">
        <f t="shared" si="6"/>
        <v>7.9</v>
      </c>
      <c r="Q23" s="18">
        <f t="shared" si="6"/>
        <v>0</v>
      </c>
      <c r="R23" s="18">
        <f t="shared" si="6"/>
        <v>798.7130000000001</v>
      </c>
      <c r="S23" s="18">
        <f t="shared" si="6"/>
        <v>2124.662</v>
      </c>
      <c r="T23" s="18">
        <f>SUM(T24:T28)</f>
        <v>1869.631</v>
      </c>
      <c r="U23" s="18">
        <f>SUM(U24:U28)</f>
        <v>474.512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8359.530999999999</v>
      </c>
      <c r="AB23" s="53">
        <f t="shared" si="4"/>
        <v>-3567.3970000000027</v>
      </c>
      <c r="AD23" s="64" t="s">
        <v>16</v>
      </c>
      <c r="AE23" s="68">
        <f>$AA$31+$AA$32+$AA$34+$AA$40+$AA$44+$AA$33</f>
        <v>920.008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8532.788</v>
      </c>
      <c r="D24" s="7"/>
      <c r="E24" s="7"/>
      <c r="F24" s="7"/>
      <c r="G24" s="7"/>
      <c r="H24" s="7"/>
      <c r="I24" s="7"/>
      <c r="J24" s="8">
        <v>122.881</v>
      </c>
      <c r="K24" s="7">
        <v>537.217</v>
      </c>
      <c r="L24" s="7">
        <f>500.263+1217.888</f>
        <v>1718.1509999999998</v>
      </c>
      <c r="M24" s="7">
        <f>515.931+188.884</f>
        <v>704.815</v>
      </c>
      <c r="N24" s="7"/>
      <c r="O24" s="7"/>
      <c r="P24" s="7">
        <v>7.9</v>
      </c>
      <c r="Q24" s="7"/>
      <c r="R24" s="25">
        <f>530.767+158.219+9.427</f>
        <v>698.4130000000001</v>
      </c>
      <c r="S24" s="7">
        <f>846.377+1126.12</f>
        <v>1972.4969999999998</v>
      </c>
      <c r="T24" s="7">
        <f>906.203+899.789</f>
        <v>1805.992</v>
      </c>
      <c r="U24" s="7">
        <v>281.956</v>
      </c>
      <c r="V24" s="8"/>
      <c r="W24" s="8"/>
      <c r="X24" s="8"/>
      <c r="Y24" s="7"/>
      <c r="Z24" s="7"/>
      <c r="AA24" s="7">
        <f>SUM(D24:Z24)</f>
        <v>7849.822</v>
      </c>
      <c r="AB24" s="53">
        <f t="shared" si="4"/>
        <v>-682.9660000000003</v>
      </c>
      <c r="AD24" s="64" t="s">
        <v>17</v>
      </c>
      <c r="AE24" s="68">
        <f>$AA$62</f>
        <v>469</v>
      </c>
    </row>
    <row r="25" spans="2:31" ht="15.75">
      <c r="B25" s="3" t="s">
        <v>2</v>
      </c>
      <c r="C25" s="23">
        <v>2.1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-2.1</v>
      </c>
      <c r="AD25" s="64" t="s">
        <v>18</v>
      </c>
      <c r="AE25" s="68">
        <f>$AA$51</f>
        <v>436.353</v>
      </c>
    </row>
    <row r="26" spans="2:31" ht="15.75">
      <c r="B26" s="3" t="s">
        <v>0</v>
      </c>
      <c r="C26" s="23">
        <v>563.1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>
        <v>70.467</v>
      </c>
      <c r="S26" s="7">
        <v>128.449</v>
      </c>
      <c r="T26" s="7">
        <v>40.909</v>
      </c>
      <c r="U26" s="7">
        <v>71.844</v>
      </c>
      <c r="V26" s="8"/>
      <c r="W26" s="8"/>
      <c r="X26" s="8"/>
      <c r="Y26" s="7"/>
      <c r="Z26" s="7"/>
      <c r="AA26" s="7">
        <f>SUM(D26:Z26)</f>
        <v>311.669</v>
      </c>
      <c r="AB26" s="53">
        <f t="shared" si="4"/>
        <v>-251.43100000000004</v>
      </c>
      <c r="AD26" s="64" t="s">
        <v>19</v>
      </c>
      <c r="AE26" s="68">
        <f>$AA$56</f>
        <v>288.956</v>
      </c>
    </row>
    <row r="27" spans="2:31" ht="15.75">
      <c r="B27" s="3" t="s">
        <v>1</v>
      </c>
      <c r="C27" s="23">
        <v>2545.93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>
        <v>1.929</v>
      </c>
      <c r="S27" s="7">
        <v>15.961</v>
      </c>
      <c r="T27" s="7">
        <v>19.491</v>
      </c>
      <c r="U27" s="7">
        <v>114.02</v>
      </c>
      <c r="V27" s="8"/>
      <c r="W27" s="8"/>
      <c r="X27" s="8"/>
      <c r="Y27" s="7"/>
      <c r="Z27" s="7"/>
      <c r="AA27" s="7">
        <f>SUM(D27:Z27)</f>
        <v>151.401</v>
      </c>
      <c r="AB27" s="53">
        <f t="shared" si="4"/>
        <v>-2394.529</v>
      </c>
      <c r="AD27" s="64" t="s">
        <v>20</v>
      </c>
      <c r="AE27" s="68">
        <f>$AA$48+$AA$66+$AA$70+$AA$71+$AA$73+$AA$72+$AA$68</f>
        <v>2463.8</v>
      </c>
    </row>
    <row r="28" spans="2:31" ht="15.75">
      <c r="B28" s="3" t="s">
        <v>5</v>
      </c>
      <c r="C28" s="23">
        <v>283.01</v>
      </c>
      <c r="D28" s="7"/>
      <c r="E28" s="7"/>
      <c r="F28" s="7"/>
      <c r="G28" s="7"/>
      <c r="H28" s="7"/>
      <c r="I28" s="7"/>
      <c r="J28" s="7">
        <v>0.231</v>
      </c>
      <c r="K28" s="7"/>
      <c r="L28" s="7"/>
      <c r="M28" s="7"/>
      <c r="N28" s="7"/>
      <c r="O28" s="7">
        <v>0.818</v>
      </c>
      <c r="P28" s="7"/>
      <c r="Q28" s="7"/>
      <c r="R28" s="7">
        <v>27.904</v>
      </c>
      <c r="S28" s="7">
        <v>7.755</v>
      </c>
      <c r="T28" s="7">
        <v>3.239</v>
      </c>
      <c r="U28" s="7">
        <v>6.692</v>
      </c>
      <c r="V28" s="7"/>
      <c r="W28" s="7"/>
      <c r="X28" s="7"/>
      <c r="Y28" s="7"/>
      <c r="Z28" s="7"/>
      <c r="AA28" s="7">
        <f>SUM(D28:Z28)</f>
        <v>46.638999999999996</v>
      </c>
      <c r="AB28" s="53">
        <f t="shared" si="4"/>
        <v>-236.37099999999998</v>
      </c>
      <c r="AE28" s="69"/>
    </row>
    <row r="29" spans="2:31" ht="29.25">
      <c r="B29" s="13" t="s">
        <v>57</v>
      </c>
      <c r="C29" s="18">
        <f>C30</f>
        <v>1000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144.021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30.915</v>
      </c>
      <c r="S29" s="18">
        <f t="shared" si="7"/>
        <v>0</v>
      </c>
      <c r="T29" s="18">
        <f t="shared" si="7"/>
        <v>15.342</v>
      </c>
      <c r="U29" s="18">
        <f t="shared" si="7"/>
        <v>0</v>
      </c>
      <c r="V29" s="18">
        <f t="shared" si="7"/>
        <v>19.618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209.896</v>
      </c>
      <c r="AB29" s="53">
        <f t="shared" si="4"/>
        <v>-790.104</v>
      </c>
      <c r="AE29" s="69"/>
    </row>
    <row r="30" spans="2:31" ht="15.75">
      <c r="B30" s="55" t="s">
        <v>10</v>
      </c>
      <c r="C30" s="27">
        <v>1000</v>
      </c>
      <c r="D30" s="8"/>
      <c r="E30" s="8"/>
      <c r="F30" s="8"/>
      <c r="G30" s="8"/>
      <c r="H30" s="8"/>
      <c r="I30" s="8"/>
      <c r="J30" s="8"/>
      <c r="K30" s="8"/>
      <c r="L30" s="8">
        <v>144.021</v>
      </c>
      <c r="M30" s="8"/>
      <c r="N30" s="8"/>
      <c r="O30" s="8"/>
      <c r="P30" s="8"/>
      <c r="Q30" s="8"/>
      <c r="R30" s="8">
        <v>30.915</v>
      </c>
      <c r="S30" s="8"/>
      <c r="T30" s="8">
        <v>15.342</v>
      </c>
      <c r="U30" s="8"/>
      <c r="V30" s="8">
        <v>19.618</v>
      </c>
      <c r="W30" s="8"/>
      <c r="X30" s="8"/>
      <c r="Y30" s="27"/>
      <c r="Z30" s="27"/>
      <c r="AA30" s="7">
        <f>SUM(D30:Z30)</f>
        <v>209.896</v>
      </c>
      <c r="AB30" s="53">
        <f t="shared" si="4"/>
        <v>-790.104</v>
      </c>
      <c r="AE30" s="69"/>
    </row>
    <row r="31" spans="1:40" s="10" customFormat="1" ht="29.25">
      <c r="A31" s="10" t="s">
        <v>32</v>
      </c>
      <c r="B31" s="13" t="s">
        <v>54</v>
      </c>
      <c r="C31" s="18">
        <v>36.153</v>
      </c>
      <c r="D31" s="18"/>
      <c r="E31" s="18"/>
      <c r="F31" s="18"/>
      <c r="G31" s="18"/>
      <c r="H31" s="18"/>
      <c r="I31" s="18"/>
      <c r="J31" s="18"/>
      <c r="K31" s="18"/>
      <c r="L31" s="18"/>
      <c r="M31" s="18">
        <v>1.853</v>
      </c>
      <c r="N31" s="18"/>
      <c r="O31" s="18"/>
      <c r="P31" s="18">
        <v>0.783</v>
      </c>
      <c r="Q31" s="18">
        <v>2.715</v>
      </c>
      <c r="R31" s="18"/>
      <c r="S31" s="60"/>
      <c r="T31" s="60"/>
      <c r="U31" s="60"/>
      <c r="V31" s="60"/>
      <c r="W31" s="60"/>
      <c r="X31" s="18"/>
      <c r="Y31" s="18"/>
      <c r="Z31" s="18"/>
      <c r="AA31" s="18">
        <f>SUM(D31:Z31)</f>
        <v>5.351</v>
      </c>
      <c r="AB31" s="53">
        <f t="shared" si="4"/>
        <v>-30.802</v>
      </c>
      <c r="AD31" s="65"/>
      <c r="AE31" s="69"/>
      <c r="AF31" s="56"/>
      <c r="AG31" s="33"/>
      <c r="AH31" s="33"/>
      <c r="AI31" s="33"/>
      <c r="AJ31" s="33"/>
      <c r="AK31" s="33"/>
      <c r="AL31" s="33"/>
      <c r="AM31" s="33"/>
      <c r="AN31" s="33"/>
    </row>
    <row r="32" spans="2:40" s="10" customFormat="1" ht="43.5">
      <c r="B32" s="13" t="s">
        <v>41</v>
      </c>
      <c r="C32" s="18">
        <v>220</v>
      </c>
      <c r="D32" s="18"/>
      <c r="E32" s="18"/>
      <c r="F32" s="18"/>
      <c r="G32" s="18"/>
      <c r="H32" s="18"/>
      <c r="I32" s="18"/>
      <c r="J32" s="18"/>
      <c r="K32" s="18"/>
      <c r="L32" s="18">
        <v>215.945</v>
      </c>
      <c r="M32" s="18"/>
      <c r="N32" s="18"/>
      <c r="O32" s="18"/>
      <c r="P32" s="18"/>
      <c r="Q32" s="18"/>
      <c r="R32" s="18"/>
      <c r="S32" s="18"/>
      <c r="T32" s="60"/>
      <c r="U32" s="18"/>
      <c r="V32" s="18"/>
      <c r="W32" s="18"/>
      <c r="X32" s="18"/>
      <c r="Y32" s="18"/>
      <c r="Z32" s="18"/>
      <c r="AA32" s="18">
        <f>SUM(D32:Z32)</f>
        <v>215.945</v>
      </c>
      <c r="AB32" s="53">
        <f t="shared" si="4"/>
        <v>-4.055000000000007</v>
      </c>
      <c r="AD32" s="65"/>
      <c r="AE32" s="69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57.75" hidden="1">
      <c r="B33" s="13" t="s">
        <v>53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0</v>
      </c>
      <c r="AD33" s="65"/>
      <c r="AE33" s="69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15.75">
      <c r="B34" s="13" t="s">
        <v>34</v>
      </c>
      <c r="C34" s="18">
        <f>SUM(C35:C39)</f>
        <v>557.9300000000001</v>
      </c>
      <c r="D34" s="18">
        <f>SUM(D35:D39)</f>
        <v>0</v>
      </c>
      <c r="E34" s="18">
        <f>SUM(E35:E39)</f>
        <v>0</v>
      </c>
      <c r="F34" s="18">
        <f>SUM(F35:F39)</f>
        <v>0</v>
      </c>
      <c r="G34" s="18">
        <f aca="true" t="shared" si="8" ref="G34:S34">SUM(G35:G39)</f>
        <v>0</v>
      </c>
      <c r="H34" s="18">
        <f t="shared" si="8"/>
        <v>0</v>
      </c>
      <c r="I34" s="18">
        <f t="shared" si="8"/>
        <v>0</v>
      </c>
      <c r="J34" s="18">
        <f t="shared" si="8"/>
        <v>0</v>
      </c>
      <c r="K34" s="18">
        <f t="shared" si="8"/>
        <v>0</v>
      </c>
      <c r="L34" s="18">
        <f t="shared" si="8"/>
        <v>143.698</v>
      </c>
      <c r="M34" s="18">
        <f t="shared" si="8"/>
        <v>0</v>
      </c>
      <c r="N34" s="18">
        <f t="shared" si="8"/>
        <v>0</v>
      </c>
      <c r="O34" s="18">
        <f t="shared" si="8"/>
        <v>0</v>
      </c>
      <c r="P34" s="18">
        <f t="shared" si="8"/>
        <v>0</v>
      </c>
      <c r="Q34" s="18">
        <f t="shared" si="8"/>
        <v>0</v>
      </c>
      <c r="R34" s="18">
        <f t="shared" si="8"/>
        <v>0</v>
      </c>
      <c r="S34" s="18">
        <f t="shared" si="8"/>
        <v>0</v>
      </c>
      <c r="T34" s="18">
        <f>SUM(T35:T39)</f>
        <v>354.456</v>
      </c>
      <c r="U34" s="18">
        <f>SUM(U35:U39)</f>
        <v>4.804</v>
      </c>
      <c r="V34" s="18">
        <f aca="true" t="shared" si="9" ref="V34:AA34">SUM(V35:V39)</f>
        <v>0</v>
      </c>
      <c r="W34" s="18">
        <f t="shared" si="9"/>
        <v>0</v>
      </c>
      <c r="X34" s="18">
        <f t="shared" si="9"/>
        <v>0</v>
      </c>
      <c r="Y34" s="18">
        <f t="shared" si="9"/>
        <v>0</v>
      </c>
      <c r="Z34" s="18">
        <f>SUM(Z35:Z39)</f>
        <v>0</v>
      </c>
      <c r="AA34" s="18">
        <f t="shared" si="9"/>
        <v>502.958</v>
      </c>
      <c r="AB34" s="53">
        <f t="shared" si="4"/>
        <v>-54.97200000000004</v>
      </c>
      <c r="AD34" s="65"/>
      <c r="AE34" s="69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3" t="s">
        <v>3</v>
      </c>
      <c r="C35" s="23">
        <v>502.1</v>
      </c>
      <c r="D35" s="7"/>
      <c r="E35" s="7"/>
      <c r="F35" s="7"/>
      <c r="G35" s="7"/>
      <c r="H35" s="7"/>
      <c r="I35" s="7"/>
      <c r="J35" s="8"/>
      <c r="K35" s="7"/>
      <c r="L35" s="7">
        <v>143.698</v>
      </c>
      <c r="M35" s="7"/>
      <c r="N35" s="7"/>
      <c r="O35" s="7"/>
      <c r="P35" s="25"/>
      <c r="Q35" s="7"/>
      <c r="R35" s="25"/>
      <c r="S35" s="7"/>
      <c r="T35" s="7">
        <v>354.456</v>
      </c>
      <c r="U35" s="7"/>
      <c r="V35" s="8"/>
      <c r="W35" s="8"/>
      <c r="X35" s="7"/>
      <c r="Y35" s="7"/>
      <c r="Z35" s="7"/>
      <c r="AA35" s="7">
        <f>SUM(D35:Z35)</f>
        <v>498.154</v>
      </c>
      <c r="AB35" s="53">
        <f t="shared" si="4"/>
        <v>-3.9460000000000264</v>
      </c>
      <c r="AD35" s="65"/>
      <c r="AE35" s="69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2</v>
      </c>
      <c r="C36" s="23">
        <v>1.8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-1.8</v>
      </c>
      <c r="AD36" s="65"/>
      <c r="AE36" s="69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0</v>
      </c>
      <c r="C37" s="23">
        <v>3.3</v>
      </c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25"/>
      <c r="Q37" s="7"/>
      <c r="R37" s="25"/>
      <c r="S37" s="7"/>
      <c r="T37" s="7"/>
      <c r="U37" s="7">
        <v>3.3</v>
      </c>
      <c r="V37" s="8"/>
      <c r="W37" s="8"/>
      <c r="X37" s="7"/>
      <c r="Y37" s="7"/>
      <c r="Z37" s="7"/>
      <c r="AA37" s="7">
        <f>SUM(D37:Z37)</f>
        <v>3.3</v>
      </c>
      <c r="AB37" s="53">
        <f t="shared" si="4"/>
        <v>0</v>
      </c>
      <c r="AD37" s="65"/>
      <c r="AE37" s="69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1</v>
      </c>
      <c r="C38" s="23">
        <v>45.6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>
        <v>0.894</v>
      </c>
      <c r="V38" s="8"/>
      <c r="W38" s="8"/>
      <c r="X38" s="7"/>
      <c r="Y38" s="7"/>
      <c r="Z38" s="7"/>
      <c r="AA38" s="7">
        <f>SUM(D38:Z38)</f>
        <v>0.894</v>
      </c>
      <c r="AB38" s="53">
        <f t="shared" si="4"/>
        <v>-44.706</v>
      </c>
      <c r="AD38" s="65"/>
      <c r="AE38" s="69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5</v>
      </c>
      <c r="C39" s="23">
        <v>5.13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>
        <v>0.61</v>
      </c>
      <c r="V39" s="7"/>
      <c r="W39" s="7"/>
      <c r="X39" s="7"/>
      <c r="Y39" s="7"/>
      <c r="Z39" s="7"/>
      <c r="AA39" s="7">
        <f>SUM(D39:Z39)</f>
        <v>0.61</v>
      </c>
      <c r="AB39" s="53">
        <f t="shared" si="4"/>
        <v>-4.52</v>
      </c>
      <c r="AD39" s="65"/>
      <c r="AE39" s="69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13" t="s">
        <v>35</v>
      </c>
      <c r="C40" s="18">
        <f aca="true" t="shared" si="10" ref="C40:S40">SUM(C41:C43)</f>
        <v>169.20000000000002</v>
      </c>
      <c r="D40" s="18">
        <f t="shared" si="10"/>
        <v>0</v>
      </c>
      <c r="E40" s="18">
        <f t="shared" si="10"/>
        <v>0</v>
      </c>
      <c r="F40" s="18">
        <f t="shared" si="10"/>
        <v>0</v>
      </c>
      <c r="G40" s="18">
        <f t="shared" si="10"/>
        <v>0</v>
      </c>
      <c r="H40" s="18">
        <f t="shared" si="10"/>
        <v>0</v>
      </c>
      <c r="I40" s="18">
        <f t="shared" si="10"/>
        <v>0</v>
      </c>
      <c r="J40" s="18">
        <f t="shared" si="10"/>
        <v>0</v>
      </c>
      <c r="K40" s="18">
        <f t="shared" si="10"/>
        <v>0</v>
      </c>
      <c r="L40" s="18">
        <f t="shared" si="10"/>
        <v>0</v>
      </c>
      <c r="M40" s="18">
        <f t="shared" si="10"/>
        <v>0.58</v>
      </c>
      <c r="N40" s="18">
        <f t="shared" si="10"/>
        <v>0</v>
      </c>
      <c r="O40" s="18">
        <f t="shared" si="10"/>
        <v>37.165</v>
      </c>
      <c r="P40" s="18">
        <f t="shared" si="10"/>
        <v>0</v>
      </c>
      <c r="Q40" s="18">
        <f t="shared" si="10"/>
        <v>0</v>
      </c>
      <c r="R40" s="18">
        <f t="shared" si="10"/>
        <v>0</v>
      </c>
      <c r="S40" s="18">
        <f t="shared" si="10"/>
        <v>0</v>
      </c>
      <c r="T40" s="18">
        <f>SUM(T41:T43)</f>
        <v>0</v>
      </c>
      <c r="U40" s="18">
        <f>SUM(U41:U43)</f>
        <v>82.361</v>
      </c>
      <c r="V40" s="18">
        <f aca="true" t="shared" si="11" ref="V40:AA40">SUM(V41:V43)</f>
        <v>0</v>
      </c>
      <c r="W40" s="18">
        <f t="shared" si="11"/>
        <v>0</v>
      </c>
      <c r="X40" s="18">
        <f t="shared" si="11"/>
        <v>0</v>
      </c>
      <c r="Y40" s="18">
        <f t="shared" si="11"/>
        <v>0</v>
      </c>
      <c r="Z40" s="18">
        <f>SUM(Z41:Z43)</f>
        <v>0</v>
      </c>
      <c r="AA40" s="18">
        <f t="shared" si="11"/>
        <v>120.10600000000001</v>
      </c>
      <c r="AB40" s="53">
        <f t="shared" si="4"/>
        <v>-49.09400000000001</v>
      </c>
      <c r="AD40" s="65"/>
      <c r="AE40" s="69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3" t="s">
        <v>3</v>
      </c>
      <c r="C41" s="23">
        <v>145</v>
      </c>
      <c r="D41" s="7"/>
      <c r="E41" s="7"/>
      <c r="F41" s="7"/>
      <c r="G41" s="7"/>
      <c r="H41" s="7"/>
      <c r="I41" s="7"/>
      <c r="J41" s="8"/>
      <c r="K41" s="7"/>
      <c r="L41" s="7"/>
      <c r="M41" s="7"/>
      <c r="N41" s="7"/>
      <c r="O41" s="7">
        <v>37.165</v>
      </c>
      <c r="P41" s="25"/>
      <c r="Q41" s="7"/>
      <c r="R41" s="25"/>
      <c r="S41" s="7"/>
      <c r="T41" s="7"/>
      <c r="U41" s="7">
        <v>80.146</v>
      </c>
      <c r="V41" s="8"/>
      <c r="W41" s="8"/>
      <c r="X41" s="7"/>
      <c r="Y41" s="7"/>
      <c r="Z41" s="7"/>
      <c r="AA41" s="7">
        <f>SUM(D41:Z41)</f>
        <v>117.311</v>
      </c>
      <c r="AB41" s="53">
        <f t="shared" si="4"/>
        <v>-27.688999999999993</v>
      </c>
      <c r="AD41" s="65"/>
      <c r="AE41" s="69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1</v>
      </c>
      <c r="C42" s="23">
        <v>16.9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7"/>
      <c r="Q42" s="7"/>
      <c r="R42" s="7"/>
      <c r="S42" s="7"/>
      <c r="T42" s="7"/>
      <c r="U42" s="7">
        <v>0.275</v>
      </c>
      <c r="V42" s="8"/>
      <c r="W42" s="8"/>
      <c r="X42" s="7"/>
      <c r="Y42" s="7"/>
      <c r="Z42" s="7"/>
      <c r="AA42" s="7">
        <f>SUM(D42:Z42)</f>
        <v>0.275</v>
      </c>
      <c r="AB42" s="53">
        <f t="shared" si="4"/>
        <v>-16.625</v>
      </c>
      <c r="AD42" s="65"/>
      <c r="AE42" s="69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5</v>
      </c>
      <c r="C43" s="23">
        <v>7.3</v>
      </c>
      <c r="D43" s="7"/>
      <c r="E43" s="7"/>
      <c r="F43" s="7"/>
      <c r="G43" s="7"/>
      <c r="H43" s="7"/>
      <c r="I43" s="7"/>
      <c r="J43" s="7"/>
      <c r="K43" s="7"/>
      <c r="L43" s="7"/>
      <c r="M43" s="7">
        <v>0.58</v>
      </c>
      <c r="N43" s="7"/>
      <c r="O43" s="7"/>
      <c r="P43" s="7"/>
      <c r="Q43" s="7"/>
      <c r="R43" s="7"/>
      <c r="S43" s="7"/>
      <c r="T43" s="7"/>
      <c r="U43" s="7">
        <v>1.94</v>
      </c>
      <c r="V43" s="7"/>
      <c r="W43" s="7"/>
      <c r="X43" s="7"/>
      <c r="Y43" s="7"/>
      <c r="Z43" s="7"/>
      <c r="AA43" s="7">
        <f>SUM(D43:Z43)</f>
        <v>2.52</v>
      </c>
      <c r="AB43" s="53">
        <f t="shared" si="4"/>
        <v>-4.779999999999999</v>
      </c>
      <c r="AD43" s="65"/>
      <c r="AE43" s="69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13" t="s">
        <v>42</v>
      </c>
      <c r="C44" s="18">
        <f aca="true" t="shared" si="12" ref="C44:Y44">SUM(C45:C47)</f>
        <v>103.9</v>
      </c>
      <c r="D44" s="18">
        <f t="shared" si="12"/>
        <v>0</v>
      </c>
      <c r="E44" s="18">
        <f t="shared" si="12"/>
        <v>0</v>
      </c>
      <c r="F44" s="18">
        <f t="shared" si="12"/>
        <v>0</v>
      </c>
      <c r="G44" s="18">
        <f t="shared" si="12"/>
        <v>0</v>
      </c>
      <c r="H44" s="18">
        <f t="shared" si="12"/>
        <v>0</v>
      </c>
      <c r="I44" s="18">
        <f t="shared" si="12"/>
        <v>0</v>
      </c>
      <c r="J44" s="18">
        <f t="shared" si="12"/>
        <v>0</v>
      </c>
      <c r="K44" s="18">
        <f t="shared" si="12"/>
        <v>0</v>
      </c>
      <c r="L44" s="18">
        <f t="shared" si="12"/>
        <v>0</v>
      </c>
      <c r="M44" s="18">
        <f t="shared" si="12"/>
        <v>33.471</v>
      </c>
      <c r="N44" s="18">
        <f t="shared" si="12"/>
        <v>0</v>
      </c>
      <c r="O44" s="18">
        <f t="shared" si="12"/>
        <v>0</v>
      </c>
      <c r="P44" s="18">
        <f t="shared" si="12"/>
        <v>0</v>
      </c>
      <c r="Q44" s="18">
        <f t="shared" si="12"/>
        <v>0</v>
      </c>
      <c r="R44" s="18">
        <f t="shared" si="12"/>
        <v>41.597</v>
      </c>
      <c r="S44" s="18">
        <f t="shared" si="12"/>
        <v>0</v>
      </c>
      <c r="T44" s="18">
        <f>SUM(T45:T47)</f>
        <v>0.58</v>
      </c>
      <c r="U44" s="18">
        <f t="shared" si="12"/>
        <v>0</v>
      </c>
      <c r="V44" s="18">
        <f t="shared" si="12"/>
        <v>0</v>
      </c>
      <c r="W44" s="18">
        <f t="shared" si="12"/>
        <v>0</v>
      </c>
      <c r="X44" s="18">
        <f t="shared" si="12"/>
        <v>0</v>
      </c>
      <c r="Y44" s="18">
        <f t="shared" si="12"/>
        <v>0</v>
      </c>
      <c r="Z44" s="18">
        <f>SUM(Z45:Z47)</f>
        <v>0</v>
      </c>
      <c r="AA44" s="18">
        <f>SUM(D44:Y44)</f>
        <v>75.648</v>
      </c>
      <c r="AB44" s="53">
        <f t="shared" si="4"/>
        <v>-28.25200000000001</v>
      </c>
      <c r="AD44" s="65"/>
      <c r="AE44" s="69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3" t="s">
        <v>3</v>
      </c>
      <c r="C45" s="23">
        <v>97.7</v>
      </c>
      <c r="D45" s="7"/>
      <c r="E45" s="7"/>
      <c r="F45" s="7"/>
      <c r="G45" s="7"/>
      <c r="H45" s="7"/>
      <c r="I45" s="7"/>
      <c r="J45" s="8"/>
      <c r="K45" s="7"/>
      <c r="L45" s="7"/>
      <c r="M45" s="7">
        <v>33.471</v>
      </c>
      <c r="N45" s="7"/>
      <c r="O45" s="7"/>
      <c r="P45" s="7"/>
      <c r="Q45" s="7"/>
      <c r="R45" s="25">
        <v>41.597</v>
      </c>
      <c r="S45" s="7"/>
      <c r="T45" s="7"/>
      <c r="U45" s="7"/>
      <c r="V45" s="8"/>
      <c r="W45" s="8"/>
      <c r="X45" s="8"/>
      <c r="Y45" s="8"/>
      <c r="Z45" s="8"/>
      <c r="AA45" s="7">
        <f>SUM(D45:Z45)</f>
        <v>75.068</v>
      </c>
      <c r="AB45" s="53">
        <f t="shared" si="4"/>
        <v>-22.632000000000005</v>
      </c>
      <c r="AD45" s="65"/>
      <c r="AE45" s="69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1</v>
      </c>
      <c r="C46" s="23">
        <f>6.2-0.58</f>
        <v>5.62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25"/>
      <c r="Q46" s="7"/>
      <c r="R46" s="25"/>
      <c r="S46" s="7"/>
      <c r="T46" s="7"/>
      <c r="U46" s="7"/>
      <c r="V46" s="8"/>
      <c r="W46" s="7"/>
      <c r="X46" s="8"/>
      <c r="Y46" s="8"/>
      <c r="Z46" s="8"/>
      <c r="AA46" s="7">
        <f>SUM(D46:Z46)</f>
        <v>0</v>
      </c>
      <c r="AB46" s="53">
        <f t="shared" si="4"/>
        <v>-5.62</v>
      </c>
      <c r="AD46" s="65"/>
      <c r="AE46" s="69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5</v>
      </c>
      <c r="C47" s="23">
        <f>0+0.58</f>
        <v>0.58</v>
      </c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>
        <v>0.58</v>
      </c>
      <c r="U47" s="7"/>
      <c r="V47" s="7"/>
      <c r="W47" s="7"/>
      <c r="X47" s="7"/>
      <c r="Y47" s="7"/>
      <c r="Z47" s="7"/>
      <c r="AA47" s="7">
        <f>SUM(D47:Z47)</f>
        <v>0.58</v>
      </c>
      <c r="AB47" s="53">
        <f t="shared" si="4"/>
        <v>0</v>
      </c>
      <c r="AD47" s="65"/>
      <c r="AE47" s="69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1:40" s="10" customFormat="1" ht="15.75" hidden="1">
      <c r="A48" s="10">
        <v>90501</v>
      </c>
      <c r="B48" s="13" t="s">
        <v>43</v>
      </c>
      <c r="C48" s="18">
        <f>C49+C50</f>
        <v>0</v>
      </c>
      <c r="D48" s="18">
        <f aca="true" t="shared" si="13" ref="D48:Y48">D49+D50</f>
        <v>0</v>
      </c>
      <c r="E48" s="18">
        <f t="shared" si="13"/>
        <v>0</v>
      </c>
      <c r="F48" s="18">
        <f t="shared" si="13"/>
        <v>0</v>
      </c>
      <c r="G48" s="18">
        <f t="shared" si="13"/>
        <v>0</v>
      </c>
      <c r="H48" s="18">
        <f t="shared" si="13"/>
        <v>0</v>
      </c>
      <c r="I48" s="18">
        <f t="shared" si="13"/>
        <v>0</v>
      </c>
      <c r="J48" s="18">
        <f t="shared" si="13"/>
        <v>0</v>
      </c>
      <c r="K48" s="18">
        <f t="shared" si="13"/>
        <v>0</v>
      </c>
      <c r="L48" s="18">
        <f t="shared" si="13"/>
        <v>0</v>
      </c>
      <c r="M48" s="18">
        <f t="shared" si="13"/>
        <v>0</v>
      </c>
      <c r="N48" s="18">
        <f t="shared" si="13"/>
        <v>0</v>
      </c>
      <c r="O48" s="18">
        <f t="shared" si="13"/>
        <v>0</v>
      </c>
      <c r="P48" s="18">
        <f t="shared" si="13"/>
        <v>0</v>
      </c>
      <c r="Q48" s="18">
        <f t="shared" si="13"/>
        <v>0</v>
      </c>
      <c r="R48" s="18">
        <f t="shared" si="13"/>
        <v>0</v>
      </c>
      <c r="S48" s="18">
        <f t="shared" si="13"/>
        <v>0</v>
      </c>
      <c r="T48" s="18">
        <f>T49+T50</f>
        <v>0</v>
      </c>
      <c r="U48" s="18">
        <f>U49+U50</f>
        <v>0</v>
      </c>
      <c r="V48" s="18">
        <f t="shared" si="13"/>
        <v>0</v>
      </c>
      <c r="W48" s="18">
        <f t="shared" si="13"/>
        <v>0</v>
      </c>
      <c r="X48" s="18">
        <f t="shared" si="13"/>
        <v>0</v>
      </c>
      <c r="Y48" s="18">
        <f t="shared" si="13"/>
        <v>0</v>
      </c>
      <c r="Z48" s="18">
        <f>Z49+Z50</f>
        <v>0</v>
      </c>
      <c r="AA48" s="18">
        <f>SUM(D48:Y48)</f>
        <v>0</v>
      </c>
      <c r="AB48" s="53">
        <f t="shared" si="4"/>
        <v>0</v>
      </c>
      <c r="AD48" s="65"/>
      <c r="AE48" s="69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2:40" s="41" customFormat="1" ht="15.75" hidden="1">
      <c r="B49" s="3" t="s">
        <v>3</v>
      </c>
      <c r="C49" s="2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7">
        <f>SUM(D49:Z49)</f>
        <v>0</v>
      </c>
      <c r="AB49" s="53">
        <f t="shared" si="4"/>
        <v>0</v>
      </c>
      <c r="AD49" s="67"/>
      <c r="AE49" s="66"/>
      <c r="AF49" s="59"/>
      <c r="AG49" s="42"/>
      <c r="AH49" s="42"/>
      <c r="AI49" s="42"/>
      <c r="AJ49" s="42"/>
      <c r="AK49" s="42"/>
      <c r="AL49" s="42"/>
      <c r="AM49" s="42"/>
      <c r="AN49" s="42"/>
    </row>
    <row r="50" spans="2:40" s="41" customFormat="1" ht="15.75" hidden="1">
      <c r="B50" s="3" t="s">
        <v>10</v>
      </c>
      <c r="C50" s="27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0</v>
      </c>
      <c r="AD50" s="67"/>
      <c r="AE50" s="66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1:40" s="10" customFormat="1" ht="15.75">
      <c r="A51" s="10">
        <v>110000</v>
      </c>
      <c r="B51" s="13" t="s">
        <v>36</v>
      </c>
      <c r="C51" s="18">
        <f aca="true" t="shared" si="14" ref="C51:AA51">SUM(C52:C55)</f>
        <v>643.16</v>
      </c>
      <c r="D51" s="18">
        <f t="shared" si="14"/>
        <v>0</v>
      </c>
      <c r="E51" s="18">
        <f t="shared" si="14"/>
        <v>0</v>
      </c>
      <c r="F51" s="18">
        <f t="shared" si="14"/>
        <v>0</v>
      </c>
      <c r="G51" s="18">
        <f t="shared" si="14"/>
        <v>0</v>
      </c>
      <c r="H51" s="18">
        <f t="shared" si="14"/>
        <v>0</v>
      </c>
      <c r="I51" s="18">
        <f t="shared" si="14"/>
        <v>0</v>
      </c>
      <c r="J51" s="18">
        <f t="shared" si="14"/>
        <v>0</v>
      </c>
      <c r="K51" s="18">
        <f t="shared" si="14"/>
        <v>0</v>
      </c>
      <c r="L51" s="18">
        <f t="shared" si="14"/>
        <v>133.816</v>
      </c>
      <c r="M51" s="18">
        <f t="shared" si="14"/>
        <v>0</v>
      </c>
      <c r="N51" s="18">
        <f t="shared" si="14"/>
        <v>0</v>
      </c>
      <c r="O51" s="18">
        <f t="shared" si="14"/>
        <v>0</v>
      </c>
      <c r="P51" s="18">
        <f t="shared" si="14"/>
        <v>0.5</v>
      </c>
      <c r="Q51" s="18">
        <f t="shared" si="14"/>
        <v>0</v>
      </c>
      <c r="R51" s="18">
        <f t="shared" si="14"/>
        <v>0</v>
      </c>
      <c r="S51" s="18">
        <f t="shared" si="14"/>
        <v>113.171</v>
      </c>
      <c r="T51" s="18">
        <f>SUM(T52:T55)</f>
        <v>33.529</v>
      </c>
      <c r="U51" s="18">
        <f t="shared" si="14"/>
        <v>155.337</v>
      </c>
      <c r="V51" s="18">
        <f t="shared" si="14"/>
        <v>0</v>
      </c>
      <c r="W51" s="18">
        <f t="shared" si="14"/>
        <v>0</v>
      </c>
      <c r="X51" s="18">
        <f t="shared" si="14"/>
        <v>0</v>
      </c>
      <c r="Y51" s="18">
        <f t="shared" si="14"/>
        <v>0</v>
      </c>
      <c r="Z51" s="18">
        <f>SUM(Z52:Z55)</f>
        <v>0</v>
      </c>
      <c r="AA51" s="18">
        <f t="shared" si="14"/>
        <v>436.353</v>
      </c>
      <c r="AB51" s="53">
        <f t="shared" si="4"/>
        <v>-206.80699999999996</v>
      </c>
      <c r="AC51" s="4"/>
      <c r="AD51" s="64"/>
      <c r="AE51" s="64"/>
      <c r="AF51" s="56"/>
      <c r="AG51" s="33"/>
      <c r="AH51" s="33"/>
      <c r="AI51" s="33"/>
      <c r="AJ51" s="33"/>
      <c r="AK51" s="33"/>
      <c r="AL51" s="33"/>
      <c r="AM51" s="33"/>
      <c r="AN51" s="33"/>
    </row>
    <row r="52" spans="2:28" ht="15.75">
      <c r="B52" s="3" t="s">
        <v>3</v>
      </c>
      <c r="C52" s="23">
        <v>458.5</v>
      </c>
      <c r="D52" s="7"/>
      <c r="E52" s="7"/>
      <c r="F52" s="7"/>
      <c r="G52" s="7"/>
      <c r="H52" s="7"/>
      <c r="I52" s="7"/>
      <c r="J52" s="8"/>
      <c r="K52" s="7"/>
      <c r="L52" s="7">
        <v>133.816</v>
      </c>
      <c r="M52" s="7"/>
      <c r="N52" s="7"/>
      <c r="O52" s="7"/>
      <c r="P52" s="25"/>
      <c r="Q52" s="7"/>
      <c r="R52" s="25"/>
      <c r="S52" s="7">
        <v>113.171</v>
      </c>
      <c r="T52" s="7">
        <v>33.529</v>
      </c>
      <c r="U52" s="7">
        <v>154.258</v>
      </c>
      <c r="V52" s="8"/>
      <c r="W52" s="8"/>
      <c r="X52" s="8"/>
      <c r="Y52" s="7"/>
      <c r="Z52" s="7"/>
      <c r="AA52" s="7">
        <f>SUM(D52:Z52)</f>
        <v>434.774</v>
      </c>
      <c r="AB52" s="53">
        <f t="shared" si="4"/>
        <v>-23.726</v>
      </c>
    </row>
    <row r="53" spans="2:28" ht="15.75">
      <c r="B53" s="3" t="s">
        <v>1</v>
      </c>
      <c r="C53" s="23">
        <f>178.04-2.72</f>
        <v>175.32</v>
      </c>
      <c r="D53" s="7"/>
      <c r="E53" s="7"/>
      <c r="F53" s="7"/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>
        <v>0.248</v>
      </c>
      <c r="V53" s="8"/>
      <c r="W53" s="8"/>
      <c r="X53" s="8"/>
      <c r="Y53" s="7"/>
      <c r="Z53" s="7"/>
      <c r="AA53" s="7">
        <f>SUM(D53:Z53)</f>
        <v>0.248</v>
      </c>
      <c r="AB53" s="53">
        <f t="shared" si="4"/>
        <v>-175.072</v>
      </c>
    </row>
    <row r="54" spans="2:28" ht="15.75">
      <c r="B54" s="3" t="s">
        <v>9</v>
      </c>
      <c r="C54" s="23">
        <v>0.4</v>
      </c>
      <c r="D54" s="7"/>
      <c r="E54" s="7"/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>
        <v>0.38</v>
      </c>
      <c r="V54" s="8"/>
      <c r="W54" s="8"/>
      <c r="X54" s="8"/>
      <c r="Y54" s="7"/>
      <c r="Z54" s="7"/>
      <c r="AA54" s="7">
        <f>SUM(D54:Z54)</f>
        <v>0.38</v>
      </c>
      <c r="AB54" s="53">
        <f t="shared" si="4"/>
        <v>-0.020000000000000018</v>
      </c>
    </row>
    <row r="55" spans="2:29" ht="15.75">
      <c r="B55" s="3" t="s">
        <v>5</v>
      </c>
      <c r="C55" s="23">
        <v>8.94</v>
      </c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>
        <v>0.5</v>
      </c>
      <c r="Q55" s="7"/>
      <c r="R55" s="7"/>
      <c r="S55" s="7"/>
      <c r="T55" s="7"/>
      <c r="U55" s="7">
        <v>0.451</v>
      </c>
      <c r="V55" s="7"/>
      <c r="W55" s="7"/>
      <c r="X55" s="7"/>
      <c r="Y55" s="7"/>
      <c r="Z55" s="7"/>
      <c r="AA55" s="7">
        <f>SUM(D55:Z55)</f>
        <v>0.9510000000000001</v>
      </c>
      <c r="AB55" s="53">
        <f t="shared" si="4"/>
        <v>-7.988999999999999</v>
      </c>
      <c r="AC55" s="10"/>
    </row>
    <row r="56" spans="1:40" s="10" customFormat="1" ht="15.75">
      <c r="A56" s="10">
        <v>130000</v>
      </c>
      <c r="B56" s="13" t="s">
        <v>37</v>
      </c>
      <c r="C56" s="18">
        <f>SUM(C57:C61)</f>
        <v>445.47</v>
      </c>
      <c r="D56" s="18">
        <f aca="true" t="shared" si="15" ref="D56:AA56">SUM(D57:D61)</f>
        <v>0</v>
      </c>
      <c r="E56" s="18">
        <f t="shared" si="15"/>
        <v>0</v>
      </c>
      <c r="F56" s="18">
        <f t="shared" si="15"/>
        <v>0</v>
      </c>
      <c r="G56" s="18">
        <f t="shared" si="15"/>
        <v>0</v>
      </c>
      <c r="H56" s="18">
        <f t="shared" si="15"/>
        <v>0</v>
      </c>
      <c r="I56" s="18">
        <f t="shared" si="15"/>
        <v>0</v>
      </c>
      <c r="J56" s="18">
        <f t="shared" si="15"/>
        <v>0</v>
      </c>
      <c r="K56" s="18">
        <f t="shared" si="15"/>
        <v>93.226</v>
      </c>
      <c r="L56" s="18">
        <f t="shared" si="15"/>
        <v>0</v>
      </c>
      <c r="M56" s="18">
        <f t="shared" si="15"/>
        <v>0</v>
      </c>
      <c r="N56" s="18">
        <f t="shared" si="15"/>
        <v>0</v>
      </c>
      <c r="O56" s="18">
        <f t="shared" si="15"/>
        <v>0</v>
      </c>
      <c r="P56" s="18">
        <f t="shared" si="15"/>
        <v>0</v>
      </c>
      <c r="Q56" s="18">
        <f t="shared" si="15"/>
        <v>0</v>
      </c>
      <c r="R56" s="18">
        <f t="shared" si="15"/>
        <v>14.227</v>
      </c>
      <c r="S56" s="18">
        <f t="shared" si="15"/>
        <v>0</v>
      </c>
      <c r="T56" s="18">
        <f>SUM(T57:T61)</f>
        <v>11.383</v>
      </c>
      <c r="U56" s="18">
        <f>SUM(U57:U61)</f>
        <v>170.12</v>
      </c>
      <c r="V56" s="18">
        <f t="shared" si="15"/>
        <v>0</v>
      </c>
      <c r="W56" s="18">
        <f t="shared" si="15"/>
        <v>0</v>
      </c>
      <c r="X56" s="18">
        <f t="shared" si="15"/>
        <v>0</v>
      </c>
      <c r="Y56" s="18">
        <f t="shared" si="15"/>
        <v>0</v>
      </c>
      <c r="Z56" s="18">
        <f>SUM(Z57:Z61)</f>
        <v>0</v>
      </c>
      <c r="AA56" s="18">
        <f t="shared" si="15"/>
        <v>288.956</v>
      </c>
      <c r="AB56" s="53">
        <f t="shared" si="4"/>
        <v>-156.514</v>
      </c>
      <c r="AC56" s="4"/>
      <c r="AD56" s="64"/>
      <c r="AE56" s="64"/>
      <c r="AF56" s="56"/>
      <c r="AG56" s="33"/>
      <c r="AH56" s="33"/>
      <c r="AI56" s="33"/>
      <c r="AJ56" s="33"/>
      <c r="AK56" s="33"/>
      <c r="AL56" s="33"/>
      <c r="AM56" s="33"/>
      <c r="AN56" s="33"/>
    </row>
    <row r="57" spans="2:28" ht="15.75">
      <c r="B57" s="3" t="s">
        <v>3</v>
      </c>
      <c r="C57" s="23">
        <v>290</v>
      </c>
      <c r="D57" s="7"/>
      <c r="E57" s="7"/>
      <c r="F57" s="7"/>
      <c r="G57" s="7"/>
      <c r="H57" s="7"/>
      <c r="I57" s="7"/>
      <c r="J57" s="25"/>
      <c r="K57" s="7">
        <v>86.77</v>
      </c>
      <c r="L57" s="7"/>
      <c r="M57" s="7"/>
      <c r="N57" s="7"/>
      <c r="O57" s="7"/>
      <c r="P57" s="25"/>
      <c r="Q57" s="7"/>
      <c r="R57" s="25"/>
      <c r="S57" s="7"/>
      <c r="T57" s="7"/>
      <c r="U57" s="7">
        <v>163.697</v>
      </c>
      <c r="V57" s="8"/>
      <c r="W57" s="8"/>
      <c r="X57" s="7"/>
      <c r="Y57" s="7"/>
      <c r="Z57" s="7"/>
      <c r="AA57" s="7">
        <f>SUM(D57:Z57)</f>
        <v>250.46699999999998</v>
      </c>
      <c r="AB57" s="53">
        <f t="shared" si="4"/>
        <v>-39.533000000000015</v>
      </c>
    </row>
    <row r="58" spans="2:28" ht="15.75">
      <c r="B58" s="3" t="s">
        <v>2</v>
      </c>
      <c r="C58" s="23">
        <v>0</v>
      </c>
      <c r="D58" s="7"/>
      <c r="E58" s="7"/>
      <c r="F58" s="7"/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0</v>
      </c>
      <c r="AB58" s="53">
        <f t="shared" si="4"/>
        <v>0</v>
      </c>
    </row>
    <row r="59" spans="2:28" ht="15.75">
      <c r="B59" s="3" t="s">
        <v>1</v>
      </c>
      <c r="C59" s="23">
        <v>72</v>
      </c>
      <c r="D59" s="7"/>
      <c r="E59" s="7"/>
      <c r="F59" s="7"/>
      <c r="G59" s="7"/>
      <c r="H59" s="7"/>
      <c r="I59" s="7"/>
      <c r="J59" s="8"/>
      <c r="K59" s="7"/>
      <c r="L59" s="7"/>
      <c r="M59" s="7"/>
      <c r="N59" s="7"/>
      <c r="O59" s="7"/>
      <c r="P59" s="25"/>
      <c r="Q59" s="7"/>
      <c r="R59" s="7"/>
      <c r="S59" s="7"/>
      <c r="T59" s="7"/>
      <c r="U59" s="7">
        <v>0.562</v>
      </c>
      <c r="V59" s="8"/>
      <c r="W59" s="8"/>
      <c r="X59" s="7"/>
      <c r="Y59" s="7"/>
      <c r="Z59" s="7"/>
      <c r="AA59" s="7">
        <f>SUM(D59:Z59)</f>
        <v>0.562</v>
      </c>
      <c r="AB59" s="53">
        <f t="shared" si="4"/>
        <v>-71.438</v>
      </c>
    </row>
    <row r="60" spans="2:28" ht="15.75">
      <c r="B60" s="3" t="s">
        <v>10</v>
      </c>
      <c r="C60" s="23">
        <v>28.8</v>
      </c>
      <c r="D60" s="7"/>
      <c r="E60" s="7"/>
      <c r="F60" s="7"/>
      <c r="G60" s="7"/>
      <c r="H60" s="7"/>
      <c r="I60" s="7"/>
      <c r="J60" s="8"/>
      <c r="K60" s="7">
        <v>6.456</v>
      </c>
      <c r="L60" s="7"/>
      <c r="M60" s="7"/>
      <c r="N60" s="7"/>
      <c r="O60" s="7"/>
      <c r="P60" s="7"/>
      <c r="Q60" s="7"/>
      <c r="R60" s="7">
        <v>14.227</v>
      </c>
      <c r="S60" s="7"/>
      <c r="T60" s="7"/>
      <c r="U60" s="7"/>
      <c r="V60" s="8"/>
      <c r="W60" s="7"/>
      <c r="X60" s="8"/>
      <c r="Y60" s="8"/>
      <c r="Z60" s="8"/>
      <c r="AA60" s="7">
        <f>SUM(D60:Z60)</f>
        <v>20.683</v>
      </c>
      <c r="AB60" s="53">
        <f t="shared" si="4"/>
        <v>-8.117</v>
      </c>
    </row>
    <row r="61" spans="2:28" ht="15.75">
      <c r="B61" s="3" t="s">
        <v>5</v>
      </c>
      <c r="C61" s="23">
        <v>54.67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>
        <v>11.383</v>
      </c>
      <c r="U61" s="7">
        <v>5.861</v>
      </c>
      <c r="V61" s="7"/>
      <c r="W61" s="7"/>
      <c r="X61" s="7"/>
      <c r="Y61" s="7"/>
      <c r="Z61" s="7"/>
      <c r="AA61" s="7">
        <f>SUM(D61:Z61)</f>
        <v>17.244</v>
      </c>
      <c r="AB61" s="53">
        <f t="shared" si="4"/>
        <v>-37.426</v>
      </c>
    </row>
    <row r="62" spans="2:28" ht="15.75">
      <c r="B62" s="13" t="s">
        <v>44</v>
      </c>
      <c r="C62" s="18">
        <f>C63+C64</f>
        <v>1487.303</v>
      </c>
      <c r="D62" s="18">
        <f aca="true" t="shared" si="16" ref="D62:AA62">D63+D64</f>
        <v>0</v>
      </c>
      <c r="E62" s="18">
        <f t="shared" si="16"/>
        <v>0</v>
      </c>
      <c r="F62" s="18">
        <f t="shared" si="16"/>
        <v>0</v>
      </c>
      <c r="G62" s="18">
        <f t="shared" si="16"/>
        <v>0</v>
      </c>
      <c r="H62" s="18">
        <f t="shared" si="16"/>
        <v>0</v>
      </c>
      <c r="I62" s="18">
        <f t="shared" si="16"/>
        <v>0</v>
      </c>
      <c r="J62" s="18">
        <f t="shared" si="16"/>
        <v>0</v>
      </c>
      <c r="K62" s="18">
        <f t="shared" si="16"/>
        <v>0</v>
      </c>
      <c r="L62" s="18">
        <f t="shared" si="16"/>
        <v>0</v>
      </c>
      <c r="M62" s="18">
        <f t="shared" si="16"/>
        <v>0</v>
      </c>
      <c r="N62" s="18">
        <f t="shared" si="16"/>
        <v>0</v>
      </c>
      <c r="O62" s="18">
        <f t="shared" si="16"/>
        <v>457</v>
      </c>
      <c r="P62" s="18">
        <f t="shared" si="16"/>
        <v>0</v>
      </c>
      <c r="Q62" s="18">
        <f t="shared" si="16"/>
        <v>0</v>
      </c>
      <c r="R62" s="18">
        <f t="shared" si="16"/>
        <v>12</v>
      </c>
      <c r="S62" s="18">
        <f t="shared" si="16"/>
        <v>0</v>
      </c>
      <c r="T62" s="18">
        <f>T63+T64</f>
        <v>0</v>
      </c>
      <c r="U62" s="18">
        <f t="shared" si="16"/>
        <v>0</v>
      </c>
      <c r="V62" s="18">
        <f t="shared" si="16"/>
        <v>0</v>
      </c>
      <c r="W62" s="18">
        <f t="shared" si="16"/>
        <v>0</v>
      </c>
      <c r="X62" s="18">
        <f t="shared" si="16"/>
        <v>0</v>
      </c>
      <c r="Y62" s="18">
        <f t="shared" si="16"/>
        <v>0</v>
      </c>
      <c r="Z62" s="18">
        <f>Z63+Z64</f>
        <v>0</v>
      </c>
      <c r="AA62" s="18">
        <f t="shared" si="16"/>
        <v>469</v>
      </c>
      <c r="AB62" s="53">
        <f t="shared" si="4"/>
        <v>-1018.3030000000001</v>
      </c>
    </row>
    <row r="63" spans="2:28" ht="15.75">
      <c r="B63" s="32" t="s">
        <v>49</v>
      </c>
      <c r="C63" s="27">
        <v>207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>
        <v>12</v>
      </c>
      <c r="S63" s="8"/>
      <c r="T63" s="8"/>
      <c r="U63" s="8"/>
      <c r="V63" s="8"/>
      <c r="W63" s="8"/>
      <c r="X63" s="8"/>
      <c r="Y63" s="8"/>
      <c r="Z63" s="8"/>
      <c r="AA63" s="8">
        <f>SUM(D63:Z63)</f>
        <v>12</v>
      </c>
      <c r="AB63" s="53">
        <f t="shared" si="4"/>
        <v>-195</v>
      </c>
    </row>
    <row r="64" spans="2:28" ht="15.75">
      <c r="B64" s="32" t="s">
        <v>10</v>
      </c>
      <c r="C64" s="27">
        <v>1280.303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>
        <v>457</v>
      </c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457</v>
      </c>
      <c r="AB64" s="53">
        <f t="shared" si="4"/>
        <v>-823.3030000000001</v>
      </c>
    </row>
    <row r="65" spans="2:28" ht="45" customHeight="1" hidden="1">
      <c r="B65" s="15" t="s">
        <v>60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53"/>
    </row>
    <row r="66" spans="1:29" ht="15.75" hidden="1">
      <c r="A66" s="10">
        <v>170703</v>
      </c>
      <c r="B66" s="13" t="s">
        <v>45</v>
      </c>
      <c r="C66" s="18">
        <f>C67</f>
        <v>0</v>
      </c>
      <c r="D66" s="18">
        <f aca="true" t="shared" si="17" ref="D66:AA66">D67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</v>
      </c>
      <c r="AB66" s="53">
        <f aca="true" t="shared" si="18" ref="AB66:AB81">AA66-C66</f>
        <v>0</v>
      </c>
      <c r="AC66" s="35"/>
    </row>
    <row r="67" spans="2:40" s="35" customFormat="1" ht="15.75" hidden="1">
      <c r="B67" s="32" t="s">
        <v>49</v>
      </c>
      <c r="C67" s="27">
        <v>0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 aca="true" t="shared" si="19" ref="AA67:AA73">SUM(D67:Z67)</f>
        <v>0</v>
      </c>
      <c r="AB67" s="53">
        <f t="shared" si="18"/>
        <v>0</v>
      </c>
      <c r="AD67" s="67"/>
      <c r="AE67" s="67"/>
      <c r="AF67" s="58"/>
      <c r="AG67" s="36"/>
      <c r="AH67" s="36"/>
      <c r="AI67" s="36"/>
      <c r="AJ67" s="36"/>
      <c r="AK67" s="36"/>
      <c r="AL67" s="36"/>
      <c r="AM67" s="36"/>
      <c r="AN67" s="36"/>
    </row>
    <row r="68" spans="2:40" s="35" customFormat="1" ht="28.5" hidden="1">
      <c r="B68" s="15" t="s">
        <v>51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>
        <f t="shared" si="19"/>
        <v>0</v>
      </c>
      <c r="AB68" s="53">
        <f t="shared" si="18"/>
        <v>0</v>
      </c>
      <c r="AD68" s="67"/>
      <c r="AE68" s="67"/>
      <c r="AF68" s="58"/>
      <c r="AG68" s="36"/>
      <c r="AH68" s="36"/>
      <c r="AI68" s="36"/>
      <c r="AJ68" s="36"/>
      <c r="AK68" s="36"/>
      <c r="AL68" s="36"/>
      <c r="AM68" s="36"/>
      <c r="AN68" s="36"/>
    </row>
    <row r="69" spans="2:40" s="35" customFormat="1" ht="28.5" hidden="1">
      <c r="B69" s="15" t="s">
        <v>50</v>
      </c>
      <c r="C69" s="18">
        <f>1.867-1.867</f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t="shared" si="19"/>
        <v>0</v>
      </c>
      <c r="AB69" s="53">
        <f t="shared" si="18"/>
        <v>0</v>
      </c>
      <c r="AD69" s="67"/>
      <c r="AE69" s="67"/>
      <c r="AF69" s="58"/>
      <c r="AG69" s="36"/>
      <c r="AH69" s="36"/>
      <c r="AI69" s="36"/>
      <c r="AJ69" s="36"/>
      <c r="AK69" s="36"/>
      <c r="AL69" s="36"/>
      <c r="AM69" s="36"/>
      <c r="AN69" s="36"/>
    </row>
    <row r="70" spans="2:40" s="35" customFormat="1" ht="15.75" hidden="1">
      <c r="B70" s="15" t="s">
        <v>47</v>
      </c>
      <c r="C70" s="18">
        <v>0.042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>
        <f t="shared" si="19"/>
        <v>0</v>
      </c>
      <c r="AB70" s="53">
        <f t="shared" si="18"/>
        <v>-0.042</v>
      </c>
      <c r="AD70" s="67"/>
      <c r="AE70" s="67"/>
      <c r="AF70" s="58"/>
      <c r="AG70" s="36"/>
      <c r="AH70" s="36"/>
      <c r="AI70" s="36"/>
      <c r="AJ70" s="36"/>
      <c r="AK70" s="36"/>
      <c r="AL70" s="36"/>
      <c r="AM70" s="36"/>
      <c r="AN70" s="36"/>
    </row>
    <row r="71" spans="1:40" s="10" customFormat="1" ht="15.75">
      <c r="A71" s="10">
        <v>250102</v>
      </c>
      <c r="B71" s="13" t="s">
        <v>46</v>
      </c>
      <c r="C71" s="18">
        <v>16.75</v>
      </c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>
        <f t="shared" si="19"/>
        <v>0</v>
      </c>
      <c r="AB71" s="53">
        <f t="shared" si="18"/>
        <v>-16.75</v>
      </c>
      <c r="AD71" s="64"/>
      <c r="AE71" s="64"/>
      <c r="AF71" s="56"/>
      <c r="AG71" s="33"/>
      <c r="AH71" s="33"/>
      <c r="AI71" s="33"/>
      <c r="AJ71" s="33"/>
      <c r="AK71" s="33"/>
      <c r="AL71" s="33"/>
      <c r="AM71" s="33"/>
      <c r="AN71" s="33"/>
    </row>
    <row r="72" spans="2:40" s="10" customFormat="1" ht="57.75">
      <c r="B72" s="13" t="s">
        <v>58</v>
      </c>
      <c r="C72" s="18">
        <v>2463.8</v>
      </c>
      <c r="D72" s="18"/>
      <c r="E72" s="18"/>
      <c r="F72" s="18"/>
      <c r="G72" s="18"/>
      <c r="H72" s="18"/>
      <c r="I72" s="18">
        <v>1231.9</v>
      </c>
      <c r="J72" s="18"/>
      <c r="K72" s="18"/>
      <c r="L72" s="18"/>
      <c r="M72" s="18">
        <v>1231.9</v>
      </c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2463.8</v>
      </c>
      <c r="AB72" s="53">
        <f t="shared" si="18"/>
        <v>0</v>
      </c>
      <c r="AD72" s="64"/>
      <c r="AE72" s="64"/>
      <c r="AF72" s="56"/>
      <c r="AG72" s="33"/>
      <c r="AH72" s="33"/>
      <c r="AI72" s="33"/>
      <c r="AJ72" s="33"/>
      <c r="AK72" s="33"/>
      <c r="AL72" s="33"/>
      <c r="AM72" s="33"/>
      <c r="AN72" s="33"/>
    </row>
    <row r="73" spans="2:40" s="10" customFormat="1" ht="43.5">
      <c r="B73" s="13" t="s">
        <v>14</v>
      </c>
      <c r="C73" s="18">
        <v>0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18"/>
        <v>0</v>
      </c>
      <c r="AD73" s="64"/>
      <c r="AE73" s="64"/>
      <c r="AF73" s="56"/>
      <c r="AG73" s="33"/>
      <c r="AH73" s="33"/>
      <c r="AI73" s="33"/>
      <c r="AJ73" s="33"/>
      <c r="AK73" s="33"/>
      <c r="AL73" s="33"/>
      <c r="AM73" s="33"/>
      <c r="AN73" s="33"/>
    </row>
    <row r="74" spans="2:40" s="10" customFormat="1" ht="15.75">
      <c r="B74" s="17" t="s">
        <v>7</v>
      </c>
      <c r="C74" s="26">
        <f>SUM(C75:C81)</f>
        <v>22218.796</v>
      </c>
      <c r="D74" s="26">
        <f aca="true" t="shared" si="20" ref="D74:AA74">SUM(D75:D81)</f>
        <v>0</v>
      </c>
      <c r="E74" s="26">
        <f t="shared" si="20"/>
        <v>0</v>
      </c>
      <c r="F74" s="26">
        <f t="shared" si="20"/>
        <v>0</v>
      </c>
      <c r="G74" s="26">
        <f t="shared" si="20"/>
        <v>0</v>
      </c>
      <c r="H74" s="26">
        <f t="shared" si="20"/>
        <v>0</v>
      </c>
      <c r="I74" s="26">
        <f t="shared" si="20"/>
        <v>1231.9</v>
      </c>
      <c r="J74" s="26">
        <f t="shared" si="20"/>
        <v>369.974</v>
      </c>
      <c r="K74" s="26">
        <f t="shared" si="20"/>
        <v>1370.95</v>
      </c>
      <c r="L74" s="26">
        <f t="shared" si="20"/>
        <v>2369.636</v>
      </c>
      <c r="M74" s="26">
        <f t="shared" si="20"/>
        <v>1972.6190000000001</v>
      </c>
      <c r="N74" s="26">
        <f t="shared" si="20"/>
        <v>0</v>
      </c>
      <c r="O74" s="26">
        <f t="shared" si="20"/>
        <v>544.987</v>
      </c>
      <c r="P74" s="26">
        <f t="shared" si="20"/>
        <v>9.883000000000001</v>
      </c>
      <c r="Q74" s="26">
        <f t="shared" si="20"/>
        <v>3.783</v>
      </c>
      <c r="R74" s="26">
        <f t="shared" si="20"/>
        <v>965.2630000000001</v>
      </c>
      <c r="S74" s="26">
        <f t="shared" si="20"/>
        <v>3271.188</v>
      </c>
      <c r="T74" s="26">
        <f>SUM(T75:T81)</f>
        <v>2562.62</v>
      </c>
      <c r="U74" s="26">
        <f t="shared" si="20"/>
        <v>928.1820000000001</v>
      </c>
      <c r="V74" s="26">
        <f t="shared" si="20"/>
        <v>44.342</v>
      </c>
      <c r="W74" s="26">
        <f t="shared" si="20"/>
        <v>0</v>
      </c>
      <c r="X74" s="26">
        <f t="shared" si="20"/>
        <v>0</v>
      </c>
      <c r="Y74" s="26">
        <f t="shared" si="20"/>
        <v>0</v>
      </c>
      <c r="Z74" s="26">
        <f t="shared" si="20"/>
        <v>0</v>
      </c>
      <c r="AA74" s="26">
        <f t="shared" si="20"/>
        <v>15645.326999999997</v>
      </c>
      <c r="AB74" s="53">
        <f t="shared" si="18"/>
        <v>-6573.469000000001</v>
      </c>
      <c r="AC74" s="4"/>
      <c r="AD74" s="64"/>
      <c r="AE74" s="64"/>
      <c r="AF74" s="56"/>
      <c r="AG74" s="33"/>
      <c r="AH74" s="33"/>
      <c r="AI74" s="33"/>
      <c r="AJ74" s="33"/>
      <c r="AK74" s="33"/>
      <c r="AL74" s="33"/>
      <c r="AM74" s="33"/>
      <c r="AN74" s="33"/>
    </row>
    <row r="75" spans="1:40" s="44" customFormat="1" ht="15.75">
      <c r="A75" s="4"/>
      <c r="B75" s="3" t="s">
        <v>3</v>
      </c>
      <c r="C75" s="23">
        <f>C20+C35+C41+C45+C49+C52+C57+C24</f>
        <v>12589.328</v>
      </c>
      <c r="D75" s="23">
        <f aca="true" t="shared" si="21" ref="D75:AA75">D20+D35+D41+D45+D49+D52+D57+D24</f>
        <v>0</v>
      </c>
      <c r="E75" s="23">
        <f t="shared" si="21"/>
        <v>0</v>
      </c>
      <c r="F75" s="23">
        <f t="shared" si="21"/>
        <v>0</v>
      </c>
      <c r="G75" s="23">
        <f t="shared" si="21"/>
        <v>0</v>
      </c>
      <c r="H75" s="23">
        <f t="shared" si="21"/>
        <v>0</v>
      </c>
      <c r="I75" s="23">
        <f t="shared" si="21"/>
        <v>0</v>
      </c>
      <c r="J75" s="23">
        <f t="shared" si="21"/>
        <v>367.875</v>
      </c>
      <c r="K75" s="23">
        <f t="shared" si="21"/>
        <v>1364.487</v>
      </c>
      <c r="L75" s="23">
        <f t="shared" si="21"/>
        <v>2009.52</v>
      </c>
      <c r="M75" s="23">
        <f t="shared" si="21"/>
        <v>738.2860000000001</v>
      </c>
      <c r="N75" s="23">
        <f t="shared" si="21"/>
        <v>0</v>
      </c>
      <c r="O75" s="23">
        <f t="shared" si="21"/>
        <v>37.165</v>
      </c>
      <c r="P75" s="23">
        <f t="shared" si="21"/>
        <v>7.9</v>
      </c>
      <c r="Q75" s="23">
        <f t="shared" si="21"/>
        <v>0</v>
      </c>
      <c r="R75" s="23">
        <f t="shared" si="21"/>
        <v>782.8690000000001</v>
      </c>
      <c r="S75" s="23">
        <f t="shared" si="21"/>
        <v>3066.795</v>
      </c>
      <c r="T75" s="23">
        <f t="shared" si="21"/>
        <v>2471.676</v>
      </c>
      <c r="U75" s="23">
        <f t="shared" si="21"/>
        <v>718.6400000000001</v>
      </c>
      <c r="V75" s="23">
        <f t="shared" si="21"/>
        <v>0</v>
      </c>
      <c r="W75" s="23">
        <f t="shared" si="21"/>
        <v>0</v>
      </c>
      <c r="X75" s="23">
        <f t="shared" si="21"/>
        <v>0</v>
      </c>
      <c r="Y75" s="23">
        <f t="shared" si="21"/>
        <v>0</v>
      </c>
      <c r="Z75" s="23">
        <f t="shared" si="21"/>
        <v>0</v>
      </c>
      <c r="AA75" s="23">
        <f t="shared" si="21"/>
        <v>11565.213</v>
      </c>
      <c r="AB75" s="53">
        <f t="shared" si="18"/>
        <v>-1024.1149999999998</v>
      </c>
      <c r="AC75" s="4"/>
      <c r="AD75" s="65"/>
      <c r="AE75" s="65"/>
      <c r="AF75" s="57"/>
      <c r="AG75" s="34"/>
      <c r="AH75" s="34"/>
      <c r="AI75" s="34"/>
      <c r="AJ75" s="34"/>
      <c r="AK75" s="34"/>
      <c r="AL75" s="34"/>
      <c r="AM75" s="34"/>
      <c r="AN75" s="34"/>
    </row>
    <row r="76" spans="1:40" s="44" customFormat="1" ht="15.75">
      <c r="A76" s="4"/>
      <c r="B76" s="3" t="s">
        <v>2</v>
      </c>
      <c r="C76" s="23">
        <f>C25+C36+C58</f>
        <v>3.9000000000000004</v>
      </c>
      <c r="D76" s="23">
        <f aca="true" t="shared" si="22" ref="D76:AA76">D25+D36+D58</f>
        <v>0</v>
      </c>
      <c r="E76" s="23">
        <f t="shared" si="22"/>
        <v>0</v>
      </c>
      <c r="F76" s="23">
        <f t="shared" si="22"/>
        <v>0</v>
      </c>
      <c r="G76" s="23">
        <f t="shared" si="22"/>
        <v>0</v>
      </c>
      <c r="H76" s="23">
        <f t="shared" si="22"/>
        <v>0</v>
      </c>
      <c r="I76" s="23">
        <f t="shared" si="22"/>
        <v>0</v>
      </c>
      <c r="J76" s="23">
        <f t="shared" si="22"/>
        <v>0</v>
      </c>
      <c r="K76" s="23">
        <f t="shared" si="22"/>
        <v>0</v>
      </c>
      <c r="L76" s="23">
        <f t="shared" si="22"/>
        <v>0</v>
      </c>
      <c r="M76" s="23">
        <f t="shared" si="22"/>
        <v>0</v>
      </c>
      <c r="N76" s="23">
        <f t="shared" si="22"/>
        <v>0</v>
      </c>
      <c r="O76" s="23">
        <f t="shared" si="22"/>
        <v>0</v>
      </c>
      <c r="P76" s="23">
        <f t="shared" si="22"/>
        <v>0</v>
      </c>
      <c r="Q76" s="23">
        <f t="shared" si="22"/>
        <v>0</v>
      </c>
      <c r="R76" s="23">
        <f t="shared" si="22"/>
        <v>0</v>
      </c>
      <c r="S76" s="23">
        <f t="shared" si="22"/>
        <v>0</v>
      </c>
      <c r="T76" s="23">
        <f t="shared" si="22"/>
        <v>0</v>
      </c>
      <c r="U76" s="23">
        <f t="shared" si="22"/>
        <v>0</v>
      </c>
      <c r="V76" s="23">
        <f t="shared" si="22"/>
        <v>0</v>
      </c>
      <c r="W76" s="23">
        <f t="shared" si="22"/>
        <v>0</v>
      </c>
      <c r="X76" s="23">
        <f t="shared" si="22"/>
        <v>0</v>
      </c>
      <c r="Y76" s="23">
        <f t="shared" si="22"/>
        <v>0</v>
      </c>
      <c r="Z76" s="23">
        <f t="shared" si="22"/>
        <v>0</v>
      </c>
      <c r="AA76" s="23">
        <f t="shared" si="22"/>
        <v>0</v>
      </c>
      <c r="AB76" s="53">
        <f t="shared" si="18"/>
        <v>-3.9000000000000004</v>
      </c>
      <c r="AC76" s="4"/>
      <c r="AD76" s="65"/>
      <c r="AE76" s="65"/>
      <c r="AF76" s="57"/>
      <c r="AG76" s="34"/>
      <c r="AH76" s="34"/>
      <c r="AI76" s="34"/>
      <c r="AJ76" s="34"/>
      <c r="AK76" s="34"/>
      <c r="AL76" s="34"/>
      <c r="AM76" s="34"/>
      <c r="AN76" s="34"/>
    </row>
    <row r="77" spans="1:40" s="44" customFormat="1" ht="15.75">
      <c r="A77" s="4"/>
      <c r="B77" s="3" t="s">
        <v>0</v>
      </c>
      <c r="C77" s="23">
        <f>C26+C37</f>
        <v>566.4</v>
      </c>
      <c r="D77" s="23">
        <f aca="true" t="shared" si="23" ref="D77:AA77">D26+D37</f>
        <v>0</v>
      </c>
      <c r="E77" s="23">
        <f t="shared" si="23"/>
        <v>0</v>
      </c>
      <c r="F77" s="23">
        <f t="shared" si="23"/>
        <v>0</v>
      </c>
      <c r="G77" s="23">
        <f t="shared" si="23"/>
        <v>0</v>
      </c>
      <c r="H77" s="23">
        <f t="shared" si="23"/>
        <v>0</v>
      </c>
      <c r="I77" s="23">
        <f t="shared" si="23"/>
        <v>0</v>
      </c>
      <c r="J77" s="23">
        <f t="shared" si="23"/>
        <v>0</v>
      </c>
      <c r="K77" s="23">
        <f t="shared" si="23"/>
        <v>0</v>
      </c>
      <c r="L77" s="23">
        <f t="shared" si="23"/>
        <v>0</v>
      </c>
      <c r="M77" s="23">
        <f t="shared" si="23"/>
        <v>0</v>
      </c>
      <c r="N77" s="23">
        <f t="shared" si="23"/>
        <v>0</v>
      </c>
      <c r="O77" s="23">
        <f t="shared" si="23"/>
        <v>0</v>
      </c>
      <c r="P77" s="23">
        <f t="shared" si="23"/>
        <v>0</v>
      </c>
      <c r="Q77" s="23">
        <f t="shared" si="23"/>
        <v>0</v>
      </c>
      <c r="R77" s="23">
        <f t="shared" si="23"/>
        <v>70.467</v>
      </c>
      <c r="S77" s="23">
        <f t="shared" si="23"/>
        <v>128.449</v>
      </c>
      <c r="T77" s="23">
        <f t="shared" si="23"/>
        <v>40.909</v>
      </c>
      <c r="U77" s="23">
        <f t="shared" si="23"/>
        <v>75.14399999999999</v>
      </c>
      <c r="V77" s="23">
        <f t="shared" si="23"/>
        <v>0</v>
      </c>
      <c r="W77" s="23">
        <f t="shared" si="23"/>
        <v>0</v>
      </c>
      <c r="X77" s="23">
        <f t="shared" si="23"/>
        <v>0</v>
      </c>
      <c r="Y77" s="23">
        <f t="shared" si="23"/>
        <v>0</v>
      </c>
      <c r="Z77" s="23">
        <f t="shared" si="23"/>
        <v>0</v>
      </c>
      <c r="AA77" s="23">
        <f t="shared" si="23"/>
        <v>314.969</v>
      </c>
      <c r="AB77" s="53">
        <f t="shared" si="18"/>
        <v>-251.43099999999998</v>
      </c>
      <c r="AC77" s="4"/>
      <c r="AD77" s="65"/>
      <c r="AE77" s="65"/>
      <c r="AF77" s="57"/>
      <c r="AG77" s="34"/>
      <c r="AH77" s="34"/>
      <c r="AI77" s="34"/>
      <c r="AJ77" s="34"/>
      <c r="AK77" s="34"/>
      <c r="AL77" s="34"/>
      <c r="AM77" s="34"/>
      <c r="AN77" s="34"/>
    </row>
    <row r="78" spans="1:40" s="44" customFormat="1" ht="15.75">
      <c r="A78" s="4"/>
      <c r="B78" s="3" t="s">
        <v>1</v>
      </c>
      <c r="C78" s="23">
        <f>C21+C27+C38+C42+C46+C53+C59</f>
        <v>3149.67</v>
      </c>
      <c r="D78" s="23">
        <f aca="true" t="shared" si="24" ref="D78:AA78">D21+D27+D38+D42+D46+D53+D59</f>
        <v>0</v>
      </c>
      <c r="E78" s="23">
        <f t="shared" si="24"/>
        <v>0</v>
      </c>
      <c r="F78" s="23">
        <f t="shared" si="24"/>
        <v>0</v>
      </c>
      <c r="G78" s="23">
        <f t="shared" si="24"/>
        <v>0</v>
      </c>
      <c r="H78" s="23">
        <f t="shared" si="24"/>
        <v>0</v>
      </c>
      <c r="I78" s="23">
        <f t="shared" si="24"/>
        <v>0</v>
      </c>
      <c r="J78" s="23">
        <f t="shared" si="24"/>
        <v>0</v>
      </c>
      <c r="K78" s="23">
        <f t="shared" si="24"/>
        <v>0</v>
      </c>
      <c r="L78" s="23">
        <f t="shared" si="24"/>
        <v>0</v>
      </c>
      <c r="M78" s="23">
        <f t="shared" si="24"/>
        <v>0</v>
      </c>
      <c r="N78" s="23">
        <f t="shared" si="24"/>
        <v>0</v>
      </c>
      <c r="O78" s="23">
        <f t="shared" si="24"/>
        <v>0</v>
      </c>
      <c r="P78" s="23">
        <f t="shared" si="24"/>
        <v>0</v>
      </c>
      <c r="Q78" s="23">
        <f t="shared" si="24"/>
        <v>0.201</v>
      </c>
      <c r="R78" s="23">
        <f t="shared" si="24"/>
        <v>1.929</v>
      </c>
      <c r="S78" s="23">
        <f t="shared" si="24"/>
        <v>16.006</v>
      </c>
      <c r="T78" s="23">
        <f t="shared" si="24"/>
        <v>19.491</v>
      </c>
      <c r="U78" s="23">
        <f t="shared" si="24"/>
        <v>116.427</v>
      </c>
      <c r="V78" s="23">
        <f t="shared" si="24"/>
        <v>0.354</v>
      </c>
      <c r="W78" s="23">
        <f t="shared" si="24"/>
        <v>0</v>
      </c>
      <c r="X78" s="23">
        <f t="shared" si="24"/>
        <v>0</v>
      </c>
      <c r="Y78" s="23">
        <f t="shared" si="24"/>
        <v>0</v>
      </c>
      <c r="Z78" s="23">
        <f t="shared" si="24"/>
        <v>0</v>
      </c>
      <c r="AA78" s="23">
        <f t="shared" si="24"/>
        <v>154.40800000000002</v>
      </c>
      <c r="AB78" s="53">
        <f t="shared" si="18"/>
        <v>-2995.262</v>
      </c>
      <c r="AC78" s="4"/>
      <c r="AD78" s="65"/>
      <c r="AE78" s="65"/>
      <c r="AF78" s="57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9</v>
      </c>
      <c r="C79" s="23">
        <f>C54</f>
        <v>0.4</v>
      </c>
      <c r="D79" s="23">
        <f aca="true" t="shared" si="25" ref="D79:AA79">D54</f>
        <v>0</v>
      </c>
      <c r="E79" s="23">
        <f t="shared" si="25"/>
        <v>0</v>
      </c>
      <c r="F79" s="23">
        <f t="shared" si="25"/>
        <v>0</v>
      </c>
      <c r="G79" s="23">
        <f t="shared" si="25"/>
        <v>0</v>
      </c>
      <c r="H79" s="23">
        <f t="shared" si="25"/>
        <v>0</v>
      </c>
      <c r="I79" s="23">
        <f t="shared" si="25"/>
        <v>0</v>
      </c>
      <c r="J79" s="23">
        <f t="shared" si="25"/>
        <v>0</v>
      </c>
      <c r="K79" s="23">
        <f t="shared" si="25"/>
        <v>0</v>
      </c>
      <c r="L79" s="23">
        <f t="shared" si="25"/>
        <v>0</v>
      </c>
      <c r="M79" s="23">
        <f t="shared" si="25"/>
        <v>0</v>
      </c>
      <c r="N79" s="23">
        <f t="shared" si="25"/>
        <v>0</v>
      </c>
      <c r="O79" s="23">
        <f t="shared" si="25"/>
        <v>0</v>
      </c>
      <c r="P79" s="23">
        <f t="shared" si="25"/>
        <v>0</v>
      </c>
      <c r="Q79" s="23">
        <f t="shared" si="25"/>
        <v>0</v>
      </c>
      <c r="R79" s="23">
        <f t="shared" si="25"/>
        <v>0</v>
      </c>
      <c r="S79" s="23">
        <f t="shared" si="25"/>
        <v>0</v>
      </c>
      <c r="T79" s="23">
        <f t="shared" si="25"/>
        <v>0</v>
      </c>
      <c r="U79" s="23">
        <f t="shared" si="25"/>
        <v>0.38</v>
      </c>
      <c r="V79" s="23">
        <f t="shared" si="25"/>
        <v>0</v>
      </c>
      <c r="W79" s="23">
        <f t="shared" si="25"/>
        <v>0</v>
      </c>
      <c r="X79" s="23">
        <f t="shared" si="25"/>
        <v>0</v>
      </c>
      <c r="Y79" s="23">
        <f t="shared" si="25"/>
        <v>0</v>
      </c>
      <c r="Z79" s="23">
        <f t="shared" si="25"/>
        <v>0</v>
      </c>
      <c r="AA79" s="23">
        <f t="shared" si="25"/>
        <v>0.38</v>
      </c>
      <c r="AB79" s="53">
        <f t="shared" si="18"/>
        <v>-0.020000000000000018</v>
      </c>
      <c r="AC79" s="4"/>
      <c r="AD79" s="65"/>
      <c r="AE79" s="65"/>
      <c r="AF79" s="57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10</v>
      </c>
      <c r="C80" s="23">
        <f>C30+C50+C60+C64+C72</f>
        <v>4772.903</v>
      </c>
      <c r="D80" s="23">
        <f aca="true" t="shared" si="26" ref="D80:AA80">D30+D50+D60+D64+D72</f>
        <v>0</v>
      </c>
      <c r="E80" s="23">
        <f t="shared" si="26"/>
        <v>0</v>
      </c>
      <c r="F80" s="23">
        <f t="shared" si="26"/>
        <v>0</v>
      </c>
      <c r="G80" s="23">
        <f t="shared" si="26"/>
        <v>0</v>
      </c>
      <c r="H80" s="23">
        <f t="shared" si="26"/>
        <v>0</v>
      </c>
      <c r="I80" s="23">
        <f t="shared" si="26"/>
        <v>1231.9</v>
      </c>
      <c r="J80" s="23">
        <f t="shared" si="26"/>
        <v>0</v>
      </c>
      <c r="K80" s="23">
        <f t="shared" si="26"/>
        <v>6.456</v>
      </c>
      <c r="L80" s="23">
        <f t="shared" si="26"/>
        <v>144.021</v>
      </c>
      <c r="M80" s="23">
        <f t="shared" si="26"/>
        <v>1231.9</v>
      </c>
      <c r="N80" s="23">
        <f t="shared" si="26"/>
        <v>0</v>
      </c>
      <c r="O80" s="23">
        <f t="shared" si="26"/>
        <v>457</v>
      </c>
      <c r="P80" s="23">
        <f t="shared" si="26"/>
        <v>0</v>
      </c>
      <c r="Q80" s="23">
        <f t="shared" si="26"/>
        <v>0</v>
      </c>
      <c r="R80" s="23">
        <f t="shared" si="26"/>
        <v>45.141999999999996</v>
      </c>
      <c r="S80" s="23">
        <f t="shared" si="26"/>
        <v>0</v>
      </c>
      <c r="T80" s="23">
        <f t="shared" si="26"/>
        <v>15.342</v>
      </c>
      <c r="U80" s="23">
        <f t="shared" si="26"/>
        <v>0</v>
      </c>
      <c r="V80" s="23">
        <f t="shared" si="26"/>
        <v>19.618</v>
      </c>
      <c r="W80" s="23">
        <f t="shared" si="26"/>
        <v>0</v>
      </c>
      <c r="X80" s="23">
        <f t="shared" si="26"/>
        <v>0</v>
      </c>
      <c r="Y80" s="23">
        <f t="shared" si="26"/>
        <v>0</v>
      </c>
      <c r="Z80" s="23">
        <f t="shared" si="26"/>
        <v>0</v>
      </c>
      <c r="AA80" s="23">
        <f t="shared" si="26"/>
        <v>3151.379</v>
      </c>
      <c r="AB80" s="53">
        <f t="shared" si="18"/>
        <v>-1621.5240000000003</v>
      </c>
      <c r="AC80" s="4"/>
      <c r="AD80" s="65"/>
      <c r="AE80" s="65"/>
      <c r="AF80" s="57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5</v>
      </c>
      <c r="C81" s="23">
        <f>C22+C28+C31+C32+C39+C43+C47+C55+C61+C67+C70+C71+C73+C63+C69+C68+C33+C65</f>
        <v>1136.1950000000002</v>
      </c>
      <c r="D81" s="23">
        <f aca="true" t="shared" si="27" ref="D81:AA81">D22+D28+D31+D32+D39+D43+D47+D55+D61+D67+D70+D71+D73+D63+D69+D68+D33+D65</f>
        <v>0</v>
      </c>
      <c r="E81" s="23">
        <f t="shared" si="27"/>
        <v>0</v>
      </c>
      <c r="F81" s="23">
        <f t="shared" si="27"/>
        <v>0</v>
      </c>
      <c r="G81" s="23">
        <f t="shared" si="27"/>
        <v>0</v>
      </c>
      <c r="H81" s="23">
        <f t="shared" si="27"/>
        <v>0</v>
      </c>
      <c r="I81" s="23">
        <f t="shared" si="27"/>
        <v>0</v>
      </c>
      <c r="J81" s="23">
        <f t="shared" si="27"/>
        <v>2.099</v>
      </c>
      <c r="K81" s="23">
        <f t="shared" si="27"/>
        <v>0.007</v>
      </c>
      <c r="L81" s="23">
        <f t="shared" si="27"/>
        <v>216.095</v>
      </c>
      <c r="M81" s="23">
        <f t="shared" si="27"/>
        <v>2.433</v>
      </c>
      <c r="N81" s="23">
        <f t="shared" si="27"/>
        <v>0</v>
      </c>
      <c r="O81" s="23">
        <f t="shared" si="27"/>
        <v>50.821999999999996</v>
      </c>
      <c r="P81" s="23">
        <f t="shared" si="27"/>
        <v>1.983</v>
      </c>
      <c r="Q81" s="23">
        <f t="shared" si="27"/>
        <v>3.582</v>
      </c>
      <c r="R81" s="23">
        <f t="shared" si="27"/>
        <v>64.856</v>
      </c>
      <c r="S81" s="23">
        <f t="shared" si="27"/>
        <v>59.938</v>
      </c>
      <c r="T81" s="23">
        <f t="shared" si="27"/>
        <v>15.201999999999998</v>
      </c>
      <c r="U81" s="23">
        <f t="shared" si="27"/>
        <v>17.590999999999998</v>
      </c>
      <c r="V81" s="23">
        <f t="shared" si="27"/>
        <v>24.37</v>
      </c>
      <c r="W81" s="23">
        <f t="shared" si="27"/>
        <v>0</v>
      </c>
      <c r="X81" s="23">
        <f t="shared" si="27"/>
        <v>0</v>
      </c>
      <c r="Y81" s="23">
        <f t="shared" si="27"/>
        <v>0</v>
      </c>
      <c r="Z81" s="23">
        <f t="shared" si="27"/>
        <v>0</v>
      </c>
      <c r="AA81" s="23">
        <f t="shared" si="27"/>
        <v>458.97799999999995</v>
      </c>
      <c r="AB81" s="53">
        <f t="shared" si="18"/>
        <v>-677.2170000000002</v>
      </c>
      <c r="AC81" s="4"/>
      <c r="AD81" s="65"/>
      <c r="AE81" s="65"/>
      <c r="AF81" s="57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4"/>
      <c r="C82" s="2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51"/>
      <c r="AC82" s="4"/>
      <c r="AD82" s="65"/>
      <c r="AE82" s="65"/>
      <c r="AF82" s="57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4" t="s">
        <v>55</v>
      </c>
      <c r="C83" s="30">
        <f aca="true" t="shared" si="28" ref="C83:Y83">C18-C74</f>
        <v>0</v>
      </c>
      <c r="D83" s="20">
        <f t="shared" si="28"/>
        <v>0</v>
      </c>
      <c r="E83" s="20">
        <f t="shared" si="28"/>
        <v>0</v>
      </c>
      <c r="F83" s="20">
        <f t="shared" si="28"/>
        <v>0</v>
      </c>
      <c r="G83" s="20">
        <f t="shared" si="28"/>
        <v>0</v>
      </c>
      <c r="H83" s="20">
        <f t="shared" si="28"/>
        <v>0</v>
      </c>
      <c r="I83" s="20">
        <f t="shared" si="28"/>
        <v>0</v>
      </c>
      <c r="J83" s="20">
        <f t="shared" si="28"/>
        <v>0</v>
      </c>
      <c r="K83" s="20">
        <f t="shared" si="28"/>
        <v>0</v>
      </c>
      <c r="L83" s="20">
        <f t="shared" si="28"/>
        <v>0</v>
      </c>
      <c r="M83" s="20">
        <f t="shared" si="28"/>
        <v>0</v>
      </c>
      <c r="N83" s="20">
        <f t="shared" si="28"/>
        <v>0</v>
      </c>
      <c r="O83" s="20">
        <f t="shared" si="28"/>
        <v>0</v>
      </c>
      <c r="P83" s="20">
        <f t="shared" si="28"/>
        <v>0</v>
      </c>
      <c r="Q83" s="20">
        <f t="shared" si="28"/>
        <v>0</v>
      </c>
      <c r="R83" s="20">
        <f t="shared" si="28"/>
        <v>0</v>
      </c>
      <c r="S83" s="20">
        <f t="shared" si="28"/>
        <v>0</v>
      </c>
      <c r="T83" s="20">
        <f t="shared" si="28"/>
        <v>0</v>
      </c>
      <c r="U83" s="20">
        <f t="shared" si="28"/>
        <v>0</v>
      </c>
      <c r="V83" s="20">
        <f t="shared" si="28"/>
        <v>0</v>
      </c>
      <c r="W83" s="20">
        <f t="shared" si="28"/>
        <v>0</v>
      </c>
      <c r="X83" s="20">
        <f t="shared" si="28"/>
        <v>0</v>
      </c>
      <c r="Y83" s="20">
        <f t="shared" si="28"/>
        <v>0</v>
      </c>
      <c r="Z83" s="20"/>
      <c r="AA83" s="20">
        <f>AA18-AA74</f>
        <v>0</v>
      </c>
      <c r="AB83" s="51"/>
      <c r="AC83" s="4"/>
      <c r="AD83" s="65"/>
      <c r="AE83" s="65"/>
      <c r="AF83" s="57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4"/>
      <c r="C84" s="31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51"/>
      <c r="AC84" s="4"/>
      <c r="AD84" s="65"/>
      <c r="AE84" s="65"/>
      <c r="AF84" s="57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31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51"/>
      <c r="AC85" s="4"/>
      <c r="AD85" s="65"/>
      <c r="AE85" s="65"/>
      <c r="AF85" s="57"/>
      <c r="AG85" s="34"/>
      <c r="AH85" s="34"/>
      <c r="AI85" s="34"/>
      <c r="AJ85" s="34"/>
      <c r="AK85" s="34"/>
      <c r="AL85" s="34"/>
      <c r="AM85" s="34"/>
      <c r="AN85" s="34"/>
    </row>
    <row r="87" spans="1:40" s="44" customFormat="1" ht="15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62"/>
      <c r="AD87" s="65"/>
      <c r="AE87" s="65"/>
      <c r="AF87" s="57"/>
      <c r="AG87" s="34"/>
      <c r="AH87" s="34"/>
      <c r="AI87" s="34"/>
      <c r="AJ87" s="34"/>
      <c r="AK87" s="34"/>
      <c r="AL87" s="34"/>
      <c r="AM87" s="34"/>
      <c r="AN87" s="34"/>
    </row>
    <row r="166" ht="15.75">
      <c r="B166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85" zoomScaleNormal="70" zoomScaleSheetLayoutView="85" workbookViewId="0" topLeftCell="B1">
      <pane xSplit="4740" ySplit="2595" topLeftCell="C6" activePane="bottomRight" state="split"/>
      <selection pane="topLeft" activeCell="O61" sqref="O61"/>
      <selection pane="topRight" activeCell="AB1" sqref="AB1:AB16384"/>
      <selection pane="bottomLeft" activeCell="B23" sqref="B23"/>
      <selection pane="bottomRight" activeCell="AD11" sqref="AD11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71" customWidth="1"/>
    <col min="31" max="31" width="14.625" style="71" customWidth="1"/>
    <col min="32" max="32" width="9.375" style="71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64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70"/>
      <c r="AE3" s="70"/>
      <c r="AF3" s="70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6">
        <v>11</v>
      </c>
      <c r="K5" s="5">
        <v>12</v>
      </c>
      <c r="L5" s="5">
        <v>13</v>
      </c>
      <c r="M5" s="5">
        <v>14</v>
      </c>
      <c r="N5" s="5">
        <v>15</v>
      </c>
      <c r="O5" s="5">
        <v>18</v>
      </c>
      <c r="P5" s="5">
        <v>19</v>
      </c>
      <c r="Q5" s="5">
        <v>20</v>
      </c>
      <c r="R5" s="5">
        <v>21</v>
      </c>
      <c r="S5" s="5">
        <v>22</v>
      </c>
      <c r="T5" s="5">
        <v>25</v>
      </c>
      <c r="U5" s="5">
        <v>26</v>
      </c>
      <c r="V5" s="6">
        <v>27</v>
      </c>
      <c r="W5" s="5">
        <v>28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/>
      <c r="J7" s="8">
        <v>1800.2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18172.4</v>
      </c>
      <c r="D8" s="37">
        <f aca="true" t="shared" si="1" ref="D8:Y8">SUM(D9:D16)</f>
        <v>223.40000000000003</v>
      </c>
      <c r="E8" s="37">
        <f t="shared" si="1"/>
        <v>566.3</v>
      </c>
      <c r="F8" s="37">
        <f t="shared" si="1"/>
        <v>424.79999999999995</v>
      </c>
      <c r="G8" s="37">
        <f t="shared" si="1"/>
        <v>892.5</v>
      </c>
      <c r="H8" s="37">
        <f t="shared" si="1"/>
        <v>2692.6</v>
      </c>
      <c r="I8" s="37">
        <f>SUM(I9:I16)</f>
        <v>720.9000000000001</v>
      </c>
      <c r="J8" s="37">
        <f t="shared" si="1"/>
        <v>378.70000000000005</v>
      </c>
      <c r="K8" s="37">
        <f>SUM(K9:K16)</f>
        <v>481.6</v>
      </c>
      <c r="L8" s="37">
        <f t="shared" si="1"/>
        <v>1162.4</v>
      </c>
      <c r="M8" s="37">
        <f t="shared" si="1"/>
        <v>867.4</v>
      </c>
      <c r="N8" s="37">
        <f t="shared" si="1"/>
        <v>854.6999999999999</v>
      </c>
      <c r="O8" s="37">
        <f t="shared" si="1"/>
        <v>1017.4000000000001</v>
      </c>
      <c r="P8" s="37">
        <f t="shared" si="1"/>
        <v>695.1999999999999</v>
      </c>
      <c r="Q8" s="37">
        <f t="shared" si="1"/>
        <v>692.6999999999999</v>
      </c>
      <c r="R8" s="37">
        <f t="shared" si="1"/>
        <v>1164.3</v>
      </c>
      <c r="S8" s="37">
        <f>SUM(S9:S16)</f>
        <v>851.5999999999998</v>
      </c>
      <c r="T8" s="37">
        <f>SUM(T9:T16)</f>
        <v>1235.1</v>
      </c>
      <c r="U8" s="37">
        <f t="shared" si="1"/>
        <v>992.6</v>
      </c>
      <c r="V8" s="37">
        <f t="shared" si="1"/>
        <v>1402.6</v>
      </c>
      <c r="W8" s="37">
        <f t="shared" si="1"/>
        <v>855.5999999999999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10615.300000000001</v>
      </c>
      <c r="D9" s="40">
        <v>154</v>
      </c>
      <c r="E9" s="8">
        <v>442.4</v>
      </c>
      <c r="F9" s="8">
        <v>93.7</v>
      </c>
      <c r="G9" s="8">
        <v>649.7</v>
      </c>
      <c r="H9" s="8">
        <v>2512.4</v>
      </c>
      <c r="I9" s="8">
        <v>505.1</v>
      </c>
      <c r="J9" s="8">
        <v>224.6</v>
      </c>
      <c r="K9" s="8">
        <v>201</v>
      </c>
      <c r="L9" s="8">
        <v>665.4</v>
      </c>
      <c r="M9" s="8">
        <v>368.3</v>
      </c>
      <c r="N9" s="8">
        <v>274.7</v>
      </c>
      <c r="O9" s="8">
        <v>260.1</v>
      </c>
      <c r="P9" s="8">
        <v>115.6</v>
      </c>
      <c r="Q9" s="8">
        <v>614</v>
      </c>
      <c r="R9" s="43">
        <v>875.1</v>
      </c>
      <c r="S9" s="43">
        <v>568.8</v>
      </c>
      <c r="T9" s="8">
        <v>686.4</v>
      </c>
      <c r="U9" s="43">
        <v>476.5</v>
      </c>
      <c r="V9" s="8">
        <v>440.6</v>
      </c>
      <c r="W9" s="8">
        <v>486.9</v>
      </c>
      <c r="X9" s="8"/>
      <c r="Y9" s="8"/>
      <c r="Z9" s="8"/>
      <c r="AA9" s="40"/>
      <c r="AB9" s="63"/>
      <c r="AD9" s="72"/>
      <c r="AE9" s="73"/>
      <c r="AF9" s="73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3"/>
      <c r="AE10" s="73"/>
      <c r="AF10" s="73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291.80000000000007</v>
      </c>
      <c r="D11" s="40"/>
      <c r="E11" s="8">
        <v>0.3</v>
      </c>
      <c r="F11" s="8">
        <v>0.4</v>
      </c>
      <c r="G11" s="8">
        <v>27.4</v>
      </c>
      <c r="H11" s="8">
        <v>0.7</v>
      </c>
      <c r="I11" s="8"/>
      <c r="J11" s="8">
        <v>2.5</v>
      </c>
      <c r="K11" s="8"/>
      <c r="L11" s="8">
        <v>3.2</v>
      </c>
      <c r="M11" s="8">
        <v>2.3</v>
      </c>
      <c r="N11" s="8">
        <v>3.9</v>
      </c>
      <c r="O11" s="8">
        <v>8.5</v>
      </c>
      <c r="P11" s="8">
        <v>5</v>
      </c>
      <c r="Q11" s="8">
        <v>0.7</v>
      </c>
      <c r="R11" s="43">
        <v>13.5</v>
      </c>
      <c r="S11" s="43">
        <v>2.9</v>
      </c>
      <c r="T11" s="8">
        <v>72.4</v>
      </c>
      <c r="U11" s="43">
        <v>38.5</v>
      </c>
      <c r="V11" s="8">
        <v>109</v>
      </c>
      <c r="W11" s="8">
        <v>0.6</v>
      </c>
      <c r="X11" s="8"/>
      <c r="Y11" s="8"/>
      <c r="Z11" s="8"/>
      <c r="AA11" s="40"/>
      <c r="AB11" s="63"/>
      <c r="AD11" s="73"/>
      <c r="AE11" s="73"/>
      <c r="AF11" s="73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205.00000000000003</v>
      </c>
      <c r="D12" s="40"/>
      <c r="E12" s="8">
        <v>0.8</v>
      </c>
      <c r="F12" s="8">
        <v>2.7</v>
      </c>
      <c r="G12" s="8"/>
      <c r="H12" s="8"/>
      <c r="I12" s="8">
        <v>0.5</v>
      </c>
      <c r="J12" s="8"/>
      <c r="K12" s="8">
        <v>29.8</v>
      </c>
      <c r="L12" s="8">
        <v>9.7</v>
      </c>
      <c r="M12" s="8"/>
      <c r="N12" s="8"/>
      <c r="O12" s="8"/>
      <c r="P12" s="8">
        <v>0.5</v>
      </c>
      <c r="Q12" s="8">
        <v>5.4</v>
      </c>
      <c r="R12" s="43">
        <v>5.1</v>
      </c>
      <c r="S12" s="43">
        <v>92.3</v>
      </c>
      <c r="T12" s="8">
        <v>18.3</v>
      </c>
      <c r="U12" s="43">
        <v>10</v>
      </c>
      <c r="V12" s="8">
        <v>12.5</v>
      </c>
      <c r="W12" s="8">
        <v>17.4</v>
      </c>
      <c r="X12" s="8"/>
      <c r="Y12" s="8"/>
      <c r="Z12" s="8"/>
      <c r="AA12" s="40"/>
      <c r="AB12" s="63"/>
      <c r="AD12" s="72"/>
      <c r="AE12" s="73"/>
      <c r="AF12" s="73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2713.0000000000005</v>
      </c>
      <c r="D13" s="40">
        <v>11.3</v>
      </c>
      <c r="E13" s="8">
        <v>7.9</v>
      </c>
      <c r="F13" s="8">
        <v>16.6</v>
      </c>
      <c r="G13" s="8">
        <v>35.6</v>
      </c>
      <c r="H13" s="8">
        <v>23</v>
      </c>
      <c r="I13" s="8">
        <v>13.9</v>
      </c>
      <c r="J13" s="8">
        <v>3.8</v>
      </c>
      <c r="K13" s="8">
        <v>38.3</v>
      </c>
      <c r="L13" s="8">
        <v>22.3</v>
      </c>
      <c r="M13" s="8">
        <v>24.7</v>
      </c>
      <c r="N13" s="8">
        <v>42.9</v>
      </c>
      <c r="O13" s="8">
        <v>44.4</v>
      </c>
      <c r="P13" s="8">
        <v>157.3</v>
      </c>
      <c r="Q13" s="8">
        <v>12.6</v>
      </c>
      <c r="R13" s="43">
        <v>201.2</v>
      </c>
      <c r="S13" s="43">
        <v>139.2</v>
      </c>
      <c r="T13" s="8">
        <v>429.3</v>
      </c>
      <c r="U13" s="43">
        <v>393.6</v>
      </c>
      <c r="V13" s="8">
        <v>791.2</v>
      </c>
      <c r="W13" s="8">
        <v>303.9</v>
      </c>
      <c r="X13" s="8"/>
      <c r="Y13" s="8"/>
      <c r="Z13" s="8"/>
      <c r="AA13" s="40"/>
      <c r="AB13" s="63"/>
      <c r="AD13" s="72"/>
      <c r="AE13" s="73"/>
      <c r="AF13" s="73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3730.1</v>
      </c>
      <c r="D14" s="40">
        <v>41.8</v>
      </c>
      <c r="E14" s="8">
        <v>97.6</v>
      </c>
      <c r="F14" s="8">
        <v>301</v>
      </c>
      <c r="G14" s="8">
        <v>150</v>
      </c>
      <c r="H14" s="8">
        <v>139.8</v>
      </c>
      <c r="I14" s="8">
        <v>189.7</v>
      </c>
      <c r="J14" s="8">
        <v>124.6</v>
      </c>
      <c r="K14" s="8">
        <v>188.7</v>
      </c>
      <c r="L14" s="8">
        <v>442.1</v>
      </c>
      <c r="M14" s="8">
        <v>400.7</v>
      </c>
      <c r="N14" s="8">
        <v>428.9</v>
      </c>
      <c r="O14" s="8">
        <v>668.5</v>
      </c>
      <c r="P14" s="8">
        <v>386.6</v>
      </c>
      <c r="Q14" s="8">
        <v>38.3</v>
      </c>
      <c r="R14" s="43">
        <v>52.6</v>
      </c>
      <c r="S14" s="43">
        <v>18.4</v>
      </c>
      <c r="T14" s="8">
        <v>11.6</v>
      </c>
      <c r="U14" s="43">
        <v>24.9</v>
      </c>
      <c r="V14" s="8">
        <v>11.6</v>
      </c>
      <c r="W14" s="8">
        <v>12.7</v>
      </c>
      <c r="X14" s="8"/>
      <c r="Y14" s="8"/>
      <c r="Z14" s="8"/>
      <c r="AA14" s="40"/>
      <c r="AB14" s="63"/>
      <c r="AD14" s="72"/>
      <c r="AE14" s="73"/>
      <c r="AF14" s="73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231.70000000000002</v>
      </c>
      <c r="D15" s="40">
        <v>9.5</v>
      </c>
      <c r="E15" s="8">
        <v>8.9</v>
      </c>
      <c r="F15" s="8">
        <v>4</v>
      </c>
      <c r="G15" s="8">
        <v>20.8</v>
      </c>
      <c r="H15" s="8">
        <v>12.1</v>
      </c>
      <c r="I15" s="8">
        <v>8</v>
      </c>
      <c r="J15" s="8">
        <v>12.1</v>
      </c>
      <c r="K15" s="8">
        <v>10</v>
      </c>
      <c r="L15" s="8">
        <v>10</v>
      </c>
      <c r="M15" s="8">
        <v>11.3</v>
      </c>
      <c r="N15" s="8">
        <v>11.6</v>
      </c>
      <c r="O15" s="8">
        <v>12.7</v>
      </c>
      <c r="P15" s="8">
        <v>13.8</v>
      </c>
      <c r="Q15" s="8">
        <v>17.3</v>
      </c>
      <c r="R15" s="43">
        <v>12.2</v>
      </c>
      <c r="S15" s="43">
        <v>11.7</v>
      </c>
      <c r="T15" s="8">
        <v>12.4</v>
      </c>
      <c r="U15" s="43">
        <v>7.4</v>
      </c>
      <c r="V15" s="8">
        <v>15.1</v>
      </c>
      <c r="W15" s="8">
        <v>10.8</v>
      </c>
      <c r="X15" s="8"/>
      <c r="Y15" s="8"/>
      <c r="Z15" s="8"/>
      <c r="AA15" s="40"/>
      <c r="AB15" s="63"/>
      <c r="AD15" s="72"/>
      <c r="AE15" s="73"/>
      <c r="AF15" s="73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385.5</v>
      </c>
      <c r="D16" s="40">
        <v>6.8</v>
      </c>
      <c r="E16" s="8">
        <v>8.4</v>
      </c>
      <c r="F16" s="8">
        <v>6.4</v>
      </c>
      <c r="G16" s="8">
        <v>9</v>
      </c>
      <c r="H16" s="8">
        <v>4.6</v>
      </c>
      <c r="I16" s="8">
        <v>3.7</v>
      </c>
      <c r="J16" s="8">
        <v>11.1</v>
      </c>
      <c r="K16" s="8">
        <v>13.8</v>
      </c>
      <c r="L16" s="8">
        <v>9.7</v>
      </c>
      <c r="M16" s="8">
        <v>60.1</v>
      </c>
      <c r="N16" s="8">
        <v>92.7</v>
      </c>
      <c r="O16" s="8">
        <v>23.2</v>
      </c>
      <c r="P16" s="8">
        <v>16.4</v>
      </c>
      <c r="Q16" s="8">
        <v>4.4</v>
      </c>
      <c r="R16" s="43">
        <v>4.6</v>
      </c>
      <c r="S16" s="43">
        <v>18.3</v>
      </c>
      <c r="T16" s="8">
        <v>4.7</v>
      </c>
      <c r="U16" s="43">
        <v>41.7</v>
      </c>
      <c r="V16" s="8">
        <v>22.6</v>
      </c>
      <c r="W16" s="8">
        <v>23.3</v>
      </c>
      <c r="X16" s="43"/>
      <c r="Y16" s="8"/>
      <c r="Z16" s="8"/>
      <c r="AA16" s="40"/>
      <c r="AB16" s="52"/>
      <c r="AD16" s="72"/>
      <c r="AE16" s="73"/>
      <c r="AF16" s="73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21772.699999999993</v>
      </c>
      <c r="D17" s="22">
        <f>SUM(D6:D8)</f>
        <v>2023.5</v>
      </c>
      <c r="E17" s="22">
        <f aca="true" t="shared" si="2" ref="E17:Y17">SUM(E6:E8)</f>
        <v>566.3</v>
      </c>
      <c r="F17" s="22">
        <f t="shared" si="2"/>
        <v>424.79999999999995</v>
      </c>
      <c r="G17" s="22">
        <f t="shared" si="2"/>
        <v>892.5</v>
      </c>
      <c r="H17" s="22">
        <f t="shared" si="2"/>
        <v>2692.6</v>
      </c>
      <c r="I17" s="22">
        <f t="shared" si="2"/>
        <v>720.9000000000001</v>
      </c>
      <c r="J17" s="22">
        <f t="shared" si="2"/>
        <v>2178.9</v>
      </c>
      <c r="K17" s="22">
        <f t="shared" si="2"/>
        <v>481.6</v>
      </c>
      <c r="L17" s="22">
        <f t="shared" si="2"/>
        <v>1162.4</v>
      </c>
      <c r="M17" s="22">
        <f>SUM(M6:M8)</f>
        <v>867.4</v>
      </c>
      <c r="N17" s="22">
        <f t="shared" si="2"/>
        <v>854.6999999999999</v>
      </c>
      <c r="O17" s="22">
        <f t="shared" si="2"/>
        <v>1017.4000000000001</v>
      </c>
      <c r="P17" s="22">
        <f t="shared" si="2"/>
        <v>695.1999999999999</v>
      </c>
      <c r="Q17" s="22">
        <f t="shared" si="2"/>
        <v>692.6999999999999</v>
      </c>
      <c r="R17" s="22">
        <f t="shared" si="2"/>
        <v>1164.3</v>
      </c>
      <c r="S17" s="22">
        <f t="shared" si="2"/>
        <v>851.5999999999998</v>
      </c>
      <c r="T17" s="22">
        <f>SUM(T6:T8)</f>
        <v>1235.1</v>
      </c>
      <c r="U17" s="22">
        <f t="shared" si="2"/>
        <v>992.6</v>
      </c>
      <c r="V17" s="22">
        <f t="shared" si="2"/>
        <v>1402.6</v>
      </c>
      <c r="W17" s="22">
        <f t="shared" si="2"/>
        <v>855.5999999999999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70"/>
      <c r="AE17" s="70"/>
      <c r="AF17" s="70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28625.845999999994</v>
      </c>
      <c r="D18" s="24">
        <f aca="true" t="shared" si="3" ref="D18:AA18">D19+D23+D29+D32+D33+D34+D35+D41+D45+D49+D52+D57+D63+D70+D74+D75+D76+D77+D31+D66+D73</f>
        <v>0</v>
      </c>
      <c r="E18" s="24">
        <f t="shared" si="3"/>
        <v>1231.95</v>
      </c>
      <c r="F18" s="24">
        <f t="shared" si="3"/>
        <v>557.176</v>
      </c>
      <c r="G18" s="24">
        <f t="shared" si="3"/>
        <v>810.696</v>
      </c>
      <c r="H18" s="24">
        <f t="shared" si="3"/>
        <v>215.77200000000002</v>
      </c>
      <c r="I18" s="24">
        <f t="shared" si="3"/>
        <v>942.0870000000001</v>
      </c>
      <c r="J18" s="24">
        <f t="shared" si="3"/>
        <v>462.24500000000006</v>
      </c>
      <c r="K18" s="24">
        <f t="shared" si="3"/>
        <v>4471.869</v>
      </c>
      <c r="L18" s="24">
        <f t="shared" si="3"/>
        <v>1393.6200000000001</v>
      </c>
      <c r="M18" s="24">
        <f t="shared" si="3"/>
        <v>984.4670000000001</v>
      </c>
      <c r="N18" s="24">
        <f t="shared" si="3"/>
        <v>7.884</v>
      </c>
      <c r="O18" s="24">
        <f t="shared" si="3"/>
        <v>313.611</v>
      </c>
      <c r="P18" s="24">
        <f t="shared" si="3"/>
        <v>575.432</v>
      </c>
      <c r="Q18" s="24">
        <f t="shared" si="3"/>
        <v>601.136</v>
      </c>
      <c r="R18" s="24">
        <f t="shared" si="3"/>
        <v>1493.3070000000002</v>
      </c>
      <c r="S18" s="24">
        <f t="shared" si="3"/>
        <v>3310.1060000000007</v>
      </c>
      <c r="T18" s="24">
        <f t="shared" si="3"/>
        <v>3395.1140000000005</v>
      </c>
      <c r="U18" s="24">
        <f t="shared" si="3"/>
        <v>12.963000000000001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20779.435000000005</v>
      </c>
      <c r="AB18" s="53">
        <f aca="true" t="shared" si="4" ref="AB18:AB70">AA18-C18</f>
        <v>-7846.410999999989</v>
      </c>
      <c r="AD18" s="70"/>
      <c r="AE18" s="70"/>
      <c r="AF18" s="70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3800.6890000000003</v>
      </c>
      <c r="D19" s="18">
        <f t="shared" si="5"/>
        <v>0</v>
      </c>
      <c r="E19" s="18">
        <f t="shared" si="5"/>
        <v>0</v>
      </c>
      <c r="F19" s="18">
        <f t="shared" si="5"/>
        <v>21.618000000000002</v>
      </c>
      <c r="G19" s="18">
        <f t="shared" si="5"/>
        <v>6.021</v>
      </c>
      <c r="H19" s="18">
        <f t="shared" si="5"/>
        <v>33.529</v>
      </c>
      <c r="I19" s="18">
        <f t="shared" si="5"/>
        <v>34.635</v>
      </c>
      <c r="J19" s="18">
        <f t="shared" si="5"/>
        <v>182.074</v>
      </c>
      <c r="K19" s="18">
        <f t="shared" si="5"/>
        <v>898.0640000000001</v>
      </c>
      <c r="L19" s="18">
        <f t="shared" si="5"/>
        <v>16.531</v>
      </c>
      <c r="M19" s="18">
        <f t="shared" si="5"/>
        <v>72.188</v>
      </c>
      <c r="N19" s="18">
        <f t="shared" si="5"/>
        <v>0.357</v>
      </c>
      <c r="O19" s="18">
        <f t="shared" si="5"/>
        <v>5.42</v>
      </c>
      <c r="P19" s="18">
        <f t="shared" si="5"/>
        <v>47.629000000000005</v>
      </c>
      <c r="Q19" s="18">
        <f t="shared" si="5"/>
        <v>4.092</v>
      </c>
      <c r="R19" s="18">
        <f t="shared" si="5"/>
        <v>103.93</v>
      </c>
      <c r="S19" s="18">
        <f t="shared" si="5"/>
        <v>781.3489999999999</v>
      </c>
      <c r="T19" s="18">
        <f>SUM(T20:T22)</f>
        <v>590.3439999999999</v>
      </c>
      <c r="U19" s="18">
        <f t="shared" si="5"/>
        <v>1.62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2799.4009999999994</v>
      </c>
      <c r="AB19" s="53">
        <f t="shared" si="4"/>
        <v>-1001.2880000000009</v>
      </c>
      <c r="AD19" s="71"/>
      <c r="AE19" s="70"/>
      <c r="AF19" s="70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2819.264+5.3-6+32.8+0.1</f>
        <v>2851.4640000000004</v>
      </c>
      <c r="D20" s="7"/>
      <c r="E20" s="7"/>
      <c r="F20" s="7"/>
      <c r="G20" s="7"/>
      <c r="H20" s="7"/>
      <c r="I20" s="7">
        <v>27.7</v>
      </c>
      <c r="J20" s="8">
        <v>99.545</v>
      </c>
      <c r="K20" s="7">
        <v>841.659</v>
      </c>
      <c r="L20" s="7">
        <v>13.91</v>
      </c>
      <c r="M20" s="7"/>
      <c r="N20" s="7"/>
      <c r="O20" s="7"/>
      <c r="P20" s="7"/>
      <c r="Q20" s="7"/>
      <c r="R20" s="7">
        <v>102.374</v>
      </c>
      <c r="S20" s="7">
        <v>755.016</v>
      </c>
      <c r="T20" s="7">
        <f>453.65+74.728+7.059</f>
        <v>535.4369999999999</v>
      </c>
      <c r="U20" s="7"/>
      <c r="V20" s="8"/>
      <c r="W20" s="8"/>
      <c r="X20" s="8"/>
      <c r="Y20" s="7"/>
      <c r="Z20" s="7"/>
      <c r="AA20" s="7">
        <f>SUM(D20:Z20)</f>
        <v>2375.6409999999996</v>
      </c>
      <c r="AB20" s="53">
        <f t="shared" si="4"/>
        <v>-475.8230000000008</v>
      </c>
      <c r="AD20" s="70" t="s">
        <v>48</v>
      </c>
      <c r="AE20" s="74">
        <f>AA19</f>
        <v>2799.4009999999994</v>
      </c>
    </row>
    <row r="21" spans="2:31" ht="15.75">
      <c r="B21" s="3" t="s">
        <v>1</v>
      </c>
      <c r="C21" s="23">
        <v>522.31</v>
      </c>
      <c r="D21" s="7"/>
      <c r="E21" s="7"/>
      <c r="F21" s="7">
        <v>15.146</v>
      </c>
      <c r="G21" s="7"/>
      <c r="H21" s="7">
        <v>4.089</v>
      </c>
      <c r="I21" s="7"/>
      <c r="J21" s="8">
        <v>43.504</v>
      </c>
      <c r="K21" s="7">
        <v>53.426</v>
      </c>
      <c r="L21" s="7">
        <v>2.621</v>
      </c>
      <c r="M21" s="7">
        <v>37.661</v>
      </c>
      <c r="N21" s="7"/>
      <c r="O21" s="7">
        <v>0.045</v>
      </c>
      <c r="P21" s="7">
        <v>0.478</v>
      </c>
      <c r="Q21" s="7">
        <v>4.092</v>
      </c>
      <c r="R21" s="7">
        <v>1.436</v>
      </c>
      <c r="S21" s="7">
        <v>15.153</v>
      </c>
      <c r="T21" s="7"/>
      <c r="U21" s="7"/>
      <c r="V21" s="8"/>
      <c r="W21" s="8"/>
      <c r="X21" s="8"/>
      <c r="Y21" s="7"/>
      <c r="Z21" s="7"/>
      <c r="AA21" s="7">
        <f>SUM(D21:Z21)</f>
        <v>177.651</v>
      </c>
      <c r="AB21" s="53">
        <f t="shared" si="4"/>
        <v>-344.65899999999993</v>
      </c>
      <c r="AD21" s="70" t="s">
        <v>15</v>
      </c>
      <c r="AE21" s="74">
        <f>AA23</f>
        <v>10953.262000000002</v>
      </c>
    </row>
    <row r="22" spans="2:31" ht="15.75">
      <c r="B22" s="3" t="s">
        <v>5</v>
      </c>
      <c r="C22" s="23">
        <f>426.505+0.41</f>
        <v>426.915</v>
      </c>
      <c r="D22" s="7"/>
      <c r="E22" s="7"/>
      <c r="F22" s="7">
        <v>6.472</v>
      </c>
      <c r="G22" s="7">
        <v>6.021</v>
      </c>
      <c r="H22" s="7">
        <v>29.44</v>
      </c>
      <c r="I22" s="7">
        <f>8.266-1.331</f>
        <v>6.9350000000000005</v>
      </c>
      <c r="J22" s="7">
        <v>39.025</v>
      </c>
      <c r="K22" s="7">
        <v>2.979</v>
      </c>
      <c r="L22" s="7"/>
      <c r="M22" s="7">
        <v>34.527</v>
      </c>
      <c r="N22" s="7">
        <v>0.357</v>
      </c>
      <c r="O22" s="7">
        <v>5.375</v>
      </c>
      <c r="P22" s="7">
        <v>47.151</v>
      </c>
      <c r="Q22" s="7"/>
      <c r="R22" s="7">
        <v>0.12</v>
      </c>
      <c r="S22" s="7">
        <f>10.399+0.781</f>
        <v>11.18</v>
      </c>
      <c r="T22" s="7">
        <v>54.907</v>
      </c>
      <c r="U22" s="7">
        <v>1.62</v>
      </c>
      <c r="V22" s="7"/>
      <c r="W22" s="7"/>
      <c r="X22" s="7"/>
      <c r="Y22" s="7"/>
      <c r="Z22" s="7"/>
      <c r="AA22" s="7">
        <f>SUM(D22:Z22)</f>
        <v>246.10900000000004</v>
      </c>
      <c r="AB22" s="53">
        <f t="shared" si="4"/>
        <v>-180.80599999999998</v>
      </c>
      <c r="AD22" s="70" t="s">
        <v>52</v>
      </c>
      <c r="AE22" s="74">
        <f>$AA$29+$AA$31</f>
        <v>156.352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15362.964</v>
      </c>
      <c r="D23" s="18">
        <f t="shared" si="6"/>
        <v>0</v>
      </c>
      <c r="E23" s="18">
        <f t="shared" si="6"/>
        <v>0</v>
      </c>
      <c r="F23" s="18">
        <f t="shared" si="6"/>
        <v>358.64000000000004</v>
      </c>
      <c r="G23" s="18">
        <f t="shared" si="6"/>
        <v>64.373</v>
      </c>
      <c r="H23" s="18">
        <f t="shared" si="6"/>
        <v>72.944</v>
      </c>
      <c r="I23" s="18">
        <f t="shared" si="6"/>
        <v>729.24</v>
      </c>
      <c r="J23" s="18">
        <f t="shared" si="6"/>
        <v>246.53100000000003</v>
      </c>
      <c r="K23" s="18">
        <f t="shared" si="6"/>
        <v>3348.143</v>
      </c>
      <c r="L23" s="18">
        <f t="shared" si="6"/>
        <v>0</v>
      </c>
      <c r="M23" s="18">
        <f t="shared" si="6"/>
        <v>680.754</v>
      </c>
      <c r="N23" s="18">
        <f t="shared" si="6"/>
        <v>1.843</v>
      </c>
      <c r="O23" s="18">
        <f t="shared" si="6"/>
        <v>135.26600000000002</v>
      </c>
      <c r="P23" s="18">
        <f t="shared" si="6"/>
        <v>0</v>
      </c>
      <c r="Q23" s="18">
        <f t="shared" si="6"/>
        <v>242.23299999999998</v>
      </c>
      <c r="R23" s="18">
        <f t="shared" si="6"/>
        <v>1302.7430000000002</v>
      </c>
      <c r="S23" s="18">
        <f t="shared" si="6"/>
        <v>1681.0420000000004</v>
      </c>
      <c r="T23" s="18">
        <f>SUM(T24:T28)</f>
        <v>2089.51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10953.262000000002</v>
      </c>
      <c r="AB23" s="53">
        <f t="shared" si="4"/>
        <v>-4409.7019999999975</v>
      </c>
      <c r="AD23" s="70" t="s">
        <v>16</v>
      </c>
      <c r="AE23" s="74">
        <f>$AA$32+$AA$33+$AA$35+$AA$41+$AA$45+$AA$34</f>
        <v>1204.264</v>
      </c>
      <c r="AF23" s="70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f>9488.891-32.8</f>
        <v>9456.091</v>
      </c>
      <c r="D24" s="7"/>
      <c r="E24" s="7"/>
      <c r="F24" s="7"/>
      <c r="G24" s="7">
        <v>2.302</v>
      </c>
      <c r="H24" s="7">
        <v>4.055</v>
      </c>
      <c r="I24" s="7">
        <f>195.017+370.636+0.717</f>
        <v>566.37</v>
      </c>
      <c r="J24" s="8">
        <f>117.408</f>
        <v>117.408</v>
      </c>
      <c r="K24" s="7">
        <f>1500.373+1214.558+7.9</f>
        <v>2722.831</v>
      </c>
      <c r="L24" s="7"/>
      <c r="M24" s="7"/>
      <c r="N24" s="7"/>
      <c r="O24" s="7"/>
      <c r="P24" s="7"/>
      <c r="Q24" s="7">
        <v>153.529</v>
      </c>
      <c r="R24" s="25">
        <f>446.297+499.016</f>
        <v>945.3130000000001</v>
      </c>
      <c r="S24" s="7">
        <f>992.442+538.594+15.16+2.948</f>
        <v>1549.1440000000002</v>
      </c>
      <c r="T24" s="7">
        <f>956.372+953.539</f>
        <v>1909.911</v>
      </c>
      <c r="U24" s="7"/>
      <c r="V24" s="8"/>
      <c r="W24" s="8"/>
      <c r="X24" s="8"/>
      <c r="Y24" s="7"/>
      <c r="Z24" s="7"/>
      <c r="AA24" s="7">
        <f>SUM(D24:Z24)</f>
        <v>7970.863000000001</v>
      </c>
      <c r="AB24" s="53">
        <f t="shared" si="4"/>
        <v>-1485.2279999999992</v>
      </c>
      <c r="AD24" s="70" t="s">
        <v>17</v>
      </c>
      <c r="AE24" s="74">
        <f>$AA$63+$AA$66</f>
        <v>1284.461</v>
      </c>
    </row>
    <row r="25" spans="2:31" ht="15.75">
      <c r="B25" s="3" t="s">
        <v>2</v>
      </c>
      <c r="C25" s="23">
        <v>9.7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>
        <v>2.099</v>
      </c>
      <c r="U25" s="7"/>
      <c r="V25" s="8"/>
      <c r="W25" s="8"/>
      <c r="X25" s="8"/>
      <c r="Y25" s="7"/>
      <c r="Z25" s="7"/>
      <c r="AA25" s="7">
        <f>SUM(D25:Z25)</f>
        <v>2.099</v>
      </c>
      <c r="AB25" s="53">
        <f t="shared" si="4"/>
        <v>-7.600999999999999</v>
      </c>
      <c r="AD25" s="70" t="s">
        <v>18</v>
      </c>
      <c r="AE25" s="74">
        <f>$AA$52</f>
        <v>589.0880000000001</v>
      </c>
    </row>
    <row r="26" spans="2:31" ht="15.75">
      <c r="B26" s="3" t="s">
        <v>0</v>
      </c>
      <c r="C26" s="23">
        <v>853.531</v>
      </c>
      <c r="D26" s="7"/>
      <c r="E26" s="7"/>
      <c r="F26" s="7">
        <v>21.651</v>
      </c>
      <c r="G26" s="7">
        <v>34.968</v>
      </c>
      <c r="H26" s="7">
        <v>27.49</v>
      </c>
      <c r="I26" s="7">
        <v>75.629</v>
      </c>
      <c r="J26" s="8">
        <v>26.915</v>
      </c>
      <c r="K26" s="7">
        <v>88.781</v>
      </c>
      <c r="L26" s="7"/>
      <c r="M26" s="7">
        <v>70.927</v>
      </c>
      <c r="N26" s="7"/>
      <c r="O26" s="7">
        <v>16.704</v>
      </c>
      <c r="P26" s="7"/>
      <c r="Q26" s="7">
        <v>46.64</v>
      </c>
      <c r="R26" s="25">
        <v>114.094</v>
      </c>
      <c r="S26" s="7">
        <v>45.5</v>
      </c>
      <c r="T26" s="7">
        <v>94.803</v>
      </c>
      <c r="U26" s="7"/>
      <c r="V26" s="8"/>
      <c r="W26" s="8"/>
      <c r="X26" s="8"/>
      <c r="Y26" s="7"/>
      <c r="Z26" s="7"/>
      <c r="AA26" s="7">
        <f>SUM(D26:Z26)</f>
        <v>664.102</v>
      </c>
      <c r="AB26" s="53">
        <f t="shared" si="4"/>
        <v>-189.42899999999997</v>
      </c>
      <c r="AD26" s="70" t="s">
        <v>19</v>
      </c>
      <c r="AE26" s="74">
        <f>$AA$57</f>
        <v>399.493</v>
      </c>
    </row>
    <row r="27" spans="2:31" ht="15.75">
      <c r="B27" s="3" t="s">
        <v>1</v>
      </c>
      <c r="C27" s="23">
        <v>4376.65</v>
      </c>
      <c r="D27" s="7"/>
      <c r="E27" s="7"/>
      <c r="F27" s="7">
        <v>324.341</v>
      </c>
      <c r="G27" s="7">
        <v>17.492</v>
      </c>
      <c r="H27" s="7">
        <v>21.893</v>
      </c>
      <c r="I27" s="7">
        <v>61.153</v>
      </c>
      <c r="J27" s="8">
        <v>98.075</v>
      </c>
      <c r="K27" s="7">
        <v>496.499</v>
      </c>
      <c r="L27" s="7"/>
      <c r="M27" s="7">
        <v>584.345</v>
      </c>
      <c r="N27" s="7"/>
      <c r="O27" s="7">
        <v>114.055</v>
      </c>
      <c r="P27" s="7"/>
      <c r="Q27" s="7">
        <v>39.499</v>
      </c>
      <c r="R27" s="25">
        <v>238.073</v>
      </c>
      <c r="S27" s="7">
        <v>84.353</v>
      </c>
      <c r="T27" s="7">
        <v>39.717</v>
      </c>
      <c r="U27" s="7"/>
      <c r="V27" s="8"/>
      <c r="W27" s="8"/>
      <c r="X27" s="8"/>
      <c r="Y27" s="7"/>
      <c r="Z27" s="7"/>
      <c r="AA27" s="7">
        <f>SUM(D27:Z27)</f>
        <v>2119.4950000000003</v>
      </c>
      <c r="AB27" s="53">
        <f t="shared" si="4"/>
        <v>-2257.1549999999993</v>
      </c>
      <c r="AD27" s="70" t="s">
        <v>20</v>
      </c>
      <c r="AE27" s="74">
        <f>$AA$49+$AA$70+$AA$74+$AA$75+$AA$77+$AA$76+$AA$72</f>
        <v>3357.2960000000003</v>
      </c>
    </row>
    <row r="28" spans="2:31" ht="15.75">
      <c r="B28" s="3" t="s">
        <v>5</v>
      </c>
      <c r="C28" s="23">
        <v>666.992</v>
      </c>
      <c r="D28" s="7"/>
      <c r="E28" s="7"/>
      <c r="F28" s="7">
        <v>12.648</v>
      </c>
      <c r="G28" s="7">
        <f>7.801+1.81</f>
        <v>9.611</v>
      </c>
      <c r="H28" s="7">
        <v>19.506</v>
      </c>
      <c r="I28" s="7">
        <v>26.088</v>
      </c>
      <c r="J28" s="7">
        <v>4.133</v>
      </c>
      <c r="K28" s="7">
        <v>40.032</v>
      </c>
      <c r="L28" s="7"/>
      <c r="M28" s="7">
        <f>24.538+0.944</f>
        <v>25.482</v>
      </c>
      <c r="N28" s="7">
        <v>1.843</v>
      </c>
      <c r="O28" s="7">
        <v>4.507</v>
      </c>
      <c r="P28" s="7"/>
      <c r="Q28" s="7">
        <v>2.565</v>
      </c>
      <c r="R28" s="7">
        <v>5.263</v>
      </c>
      <c r="S28" s="7">
        <v>2.045</v>
      </c>
      <c r="T28" s="7">
        <v>42.98</v>
      </c>
      <c r="U28" s="7"/>
      <c r="V28" s="7"/>
      <c r="W28" s="7"/>
      <c r="X28" s="7"/>
      <c r="Y28" s="7"/>
      <c r="Z28" s="7"/>
      <c r="AA28" s="7">
        <f>SUM(D28:Z28)</f>
        <v>196.70299999999997</v>
      </c>
      <c r="AB28" s="53">
        <f t="shared" si="4"/>
        <v>-470.289</v>
      </c>
      <c r="AE28" s="75"/>
    </row>
    <row r="29" spans="2:31" ht="29.25">
      <c r="B29" s="13" t="s">
        <v>57</v>
      </c>
      <c r="C29" s="18">
        <f>C30</f>
        <v>1090.104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45.639</v>
      </c>
      <c r="J29" s="18">
        <f t="shared" si="7"/>
        <v>0</v>
      </c>
      <c r="K29" s="18">
        <f t="shared" si="7"/>
        <v>27.293</v>
      </c>
      <c r="L29" s="18">
        <f t="shared" si="7"/>
        <v>0</v>
      </c>
      <c r="M29" s="18">
        <f t="shared" si="7"/>
        <v>23.987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49.09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10.343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156.352</v>
      </c>
      <c r="AB29" s="53">
        <f t="shared" si="4"/>
        <v>-933.7520000000001</v>
      </c>
      <c r="AE29" s="75"/>
    </row>
    <row r="30" spans="2:31" ht="15.75">
      <c r="B30" s="55" t="s">
        <v>10</v>
      </c>
      <c r="C30" s="27">
        <v>1090.104</v>
      </c>
      <c r="D30" s="8"/>
      <c r="E30" s="8"/>
      <c r="F30" s="8"/>
      <c r="G30" s="8"/>
      <c r="H30" s="8"/>
      <c r="I30" s="8">
        <v>45.639</v>
      </c>
      <c r="J30" s="8"/>
      <c r="K30" s="8">
        <v>27.293</v>
      </c>
      <c r="L30" s="8"/>
      <c r="M30" s="8">
        <v>23.987</v>
      </c>
      <c r="N30" s="8"/>
      <c r="O30" s="8"/>
      <c r="P30" s="8"/>
      <c r="Q30" s="8">
        <v>49.09</v>
      </c>
      <c r="R30" s="8"/>
      <c r="S30" s="8"/>
      <c r="T30" s="8"/>
      <c r="U30" s="8">
        <v>10.343</v>
      </c>
      <c r="V30" s="8"/>
      <c r="W30" s="8"/>
      <c r="X30" s="8"/>
      <c r="Y30" s="27"/>
      <c r="Z30" s="27"/>
      <c r="AA30" s="7">
        <f>SUM(D30:Z30)</f>
        <v>156.352</v>
      </c>
      <c r="AB30" s="53">
        <f t="shared" si="4"/>
        <v>-933.7520000000001</v>
      </c>
      <c r="AE30" s="75"/>
    </row>
    <row r="31" spans="2:31" ht="43.5">
      <c r="B31" s="13" t="s">
        <v>61</v>
      </c>
      <c r="C31" s="18">
        <v>29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-29</v>
      </c>
      <c r="AE31" s="75"/>
    </row>
    <row r="32" spans="1:40" s="10" customFormat="1" ht="29.25">
      <c r="A32" s="10" t="s">
        <v>32</v>
      </c>
      <c r="B32" s="13" t="s">
        <v>62</v>
      </c>
      <c r="C32" s="18">
        <v>362.855</v>
      </c>
      <c r="D32" s="18"/>
      <c r="E32" s="18"/>
      <c r="F32" s="18">
        <v>30.453</v>
      </c>
      <c r="G32" s="18"/>
      <c r="H32" s="18"/>
      <c r="I32" s="18"/>
      <c r="J32" s="18">
        <v>2.49</v>
      </c>
      <c r="K32" s="18"/>
      <c r="L32" s="18"/>
      <c r="M32" s="18"/>
      <c r="N32" s="18"/>
      <c r="O32" s="18"/>
      <c r="P32" s="18"/>
      <c r="Q32" s="18"/>
      <c r="R32" s="18">
        <v>17.972</v>
      </c>
      <c r="S32" s="18">
        <v>229.3</v>
      </c>
      <c r="T32" s="18">
        <v>5.4</v>
      </c>
      <c r="U32" s="60"/>
      <c r="V32" s="60"/>
      <c r="W32" s="60"/>
      <c r="X32" s="18"/>
      <c r="Y32" s="18"/>
      <c r="Z32" s="18"/>
      <c r="AA32" s="18">
        <f>SUM(D32:Z32)</f>
        <v>285.615</v>
      </c>
      <c r="AB32" s="53">
        <f t="shared" si="4"/>
        <v>-77.24000000000001</v>
      </c>
      <c r="AD32" s="71"/>
      <c r="AE32" s="75"/>
      <c r="AF32" s="70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224.055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>
        <v>124.567</v>
      </c>
      <c r="T33" s="60"/>
      <c r="U33" s="18"/>
      <c r="V33" s="18"/>
      <c r="W33" s="18"/>
      <c r="X33" s="18"/>
      <c r="Y33" s="18"/>
      <c r="Z33" s="18"/>
      <c r="AA33" s="18">
        <f>SUM(D33:Z33)</f>
        <v>124.567</v>
      </c>
      <c r="AB33" s="53">
        <f t="shared" si="4"/>
        <v>-99.48800000000001</v>
      </c>
      <c r="AD33" s="71"/>
      <c r="AE33" s="75"/>
      <c r="AF33" s="70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 hidden="1">
      <c r="B34" s="13" t="s">
        <v>53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0</v>
      </c>
      <c r="AD34" s="71"/>
      <c r="AE34" s="75"/>
      <c r="AF34" s="70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611.322</v>
      </c>
      <c r="D35" s="18">
        <f>SUM(D36:D40)</f>
        <v>0</v>
      </c>
      <c r="E35" s="18">
        <f>SUM(E36:E40)</f>
        <v>0</v>
      </c>
      <c r="F35" s="18">
        <f>SUM(F36:F40)</f>
        <v>45.084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7.720000000000001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195.398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9.887</v>
      </c>
      <c r="R35" s="18">
        <f t="shared" si="8"/>
        <v>0</v>
      </c>
      <c r="S35" s="18">
        <f t="shared" si="8"/>
        <v>308.178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566.2669999999999</v>
      </c>
      <c r="AB35" s="53">
        <f t="shared" si="4"/>
        <v>-45.055000000000064</v>
      </c>
      <c r="AD35" s="71"/>
      <c r="AE35" s="75"/>
      <c r="AF35" s="70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508.446</v>
      </c>
      <c r="D36" s="7"/>
      <c r="E36" s="7"/>
      <c r="F36" s="7">
        <v>14.531</v>
      </c>
      <c r="G36" s="7"/>
      <c r="H36" s="7"/>
      <c r="I36" s="7"/>
      <c r="J36" s="8"/>
      <c r="K36" s="7"/>
      <c r="L36" s="7"/>
      <c r="M36" s="7">
        <v>182.706</v>
      </c>
      <c r="N36" s="7"/>
      <c r="O36" s="7"/>
      <c r="P36" s="25"/>
      <c r="Q36" s="7"/>
      <c r="R36" s="25"/>
      <c r="S36" s="7">
        <v>308.058</v>
      </c>
      <c r="T36" s="7"/>
      <c r="U36" s="7"/>
      <c r="V36" s="8"/>
      <c r="W36" s="8"/>
      <c r="X36" s="7"/>
      <c r="Y36" s="7"/>
      <c r="Z36" s="7"/>
      <c r="AA36" s="7">
        <f>SUM(D36:Z36)</f>
        <v>505.29499999999996</v>
      </c>
      <c r="AB36" s="53">
        <f t="shared" si="4"/>
        <v>-3.1510000000000673</v>
      </c>
      <c r="AD36" s="71"/>
      <c r="AE36" s="75"/>
      <c r="AF36" s="70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3.6</v>
      </c>
      <c r="D37" s="7"/>
      <c r="E37" s="7"/>
      <c r="F37" s="7"/>
      <c r="G37" s="7"/>
      <c r="H37" s="7"/>
      <c r="I37" s="7">
        <v>3.596</v>
      </c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3.596</v>
      </c>
      <c r="AB37" s="53">
        <f t="shared" si="4"/>
        <v>-0.0040000000000000036</v>
      </c>
      <c r="AD37" s="71"/>
      <c r="AE37" s="75"/>
      <c r="AF37" s="70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>
        <v>3.3</v>
      </c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71"/>
      <c r="AE38" s="75"/>
      <c r="AF38" s="70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85.744</v>
      </c>
      <c r="D39" s="7"/>
      <c r="E39" s="7"/>
      <c r="F39" s="7">
        <v>30.553</v>
      </c>
      <c r="G39" s="7"/>
      <c r="H39" s="7"/>
      <c r="I39" s="7">
        <v>0.168</v>
      </c>
      <c r="J39" s="7"/>
      <c r="K39" s="7"/>
      <c r="L39" s="7"/>
      <c r="M39" s="7">
        <v>12.044</v>
      </c>
      <c r="N39" s="7"/>
      <c r="O39" s="7"/>
      <c r="P39" s="25"/>
      <c r="Q39" s="7">
        <v>4.765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47.53</v>
      </c>
      <c r="AB39" s="53">
        <f t="shared" si="4"/>
        <v>-38.214</v>
      </c>
      <c r="AD39" s="71"/>
      <c r="AE39" s="75"/>
      <c r="AF39" s="70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10.232</v>
      </c>
      <c r="D40" s="7"/>
      <c r="E40" s="7"/>
      <c r="F40" s="7"/>
      <c r="G40" s="7"/>
      <c r="H40" s="7"/>
      <c r="I40" s="7">
        <v>3.956</v>
      </c>
      <c r="J40" s="7"/>
      <c r="K40" s="7"/>
      <c r="L40" s="7"/>
      <c r="M40" s="7">
        <v>0.648</v>
      </c>
      <c r="N40" s="7"/>
      <c r="O40" s="7"/>
      <c r="P40" s="7"/>
      <c r="Q40" s="7">
        <v>1.822</v>
      </c>
      <c r="R40" s="7"/>
      <c r="S40" s="7">
        <v>0.12</v>
      </c>
      <c r="T40" s="7"/>
      <c r="U40" s="7"/>
      <c r="V40" s="7"/>
      <c r="W40" s="7"/>
      <c r="X40" s="7"/>
      <c r="Y40" s="7"/>
      <c r="Z40" s="7"/>
      <c r="AA40" s="7">
        <f>SUM(D40:Z40)</f>
        <v>6.546</v>
      </c>
      <c r="AB40" s="53">
        <f t="shared" si="4"/>
        <v>-3.685999999999999</v>
      </c>
      <c r="AD40" s="71"/>
      <c r="AE40" s="75"/>
      <c r="AF40" s="70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219.494</v>
      </c>
      <c r="D41" s="18">
        <f t="shared" si="10"/>
        <v>0</v>
      </c>
      <c r="E41" s="18">
        <f t="shared" si="10"/>
        <v>0</v>
      </c>
      <c r="F41" s="18">
        <f t="shared" si="10"/>
        <v>2.278</v>
      </c>
      <c r="G41" s="18">
        <f t="shared" si="10"/>
        <v>0</v>
      </c>
      <c r="H41" s="18">
        <f t="shared" si="10"/>
        <v>0</v>
      </c>
      <c r="I41" s="18">
        <f t="shared" si="10"/>
        <v>83.44600000000001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3.021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57.06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145.805</v>
      </c>
      <c r="AB41" s="53">
        <f t="shared" si="4"/>
        <v>-73.689</v>
      </c>
      <c r="AD41" s="71"/>
      <c r="AE41" s="75"/>
      <c r="AF41" s="70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177.689</v>
      </c>
      <c r="D42" s="7"/>
      <c r="E42" s="7"/>
      <c r="F42" s="7"/>
      <c r="G42" s="7"/>
      <c r="H42" s="7"/>
      <c r="I42" s="7">
        <v>69.135</v>
      </c>
      <c r="J42" s="8"/>
      <c r="K42" s="7"/>
      <c r="L42" s="7"/>
      <c r="M42" s="7"/>
      <c r="N42" s="7"/>
      <c r="O42" s="7"/>
      <c r="P42" s="25"/>
      <c r="Q42" s="7"/>
      <c r="R42" s="25"/>
      <c r="S42" s="7"/>
      <c r="T42" s="7">
        <v>57.06</v>
      </c>
      <c r="U42" s="7"/>
      <c r="V42" s="8"/>
      <c r="W42" s="8"/>
      <c r="X42" s="7"/>
      <c r="Y42" s="7"/>
      <c r="Z42" s="7"/>
      <c r="AA42" s="7">
        <f>SUM(D42:Z42)</f>
        <v>126.19500000000001</v>
      </c>
      <c r="AB42" s="53">
        <f t="shared" si="4"/>
        <v>-51.493999999999986</v>
      </c>
      <c r="AD42" s="71"/>
      <c r="AE42" s="75"/>
      <c r="AF42" s="70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32.025</v>
      </c>
      <c r="D43" s="7"/>
      <c r="E43" s="7"/>
      <c r="F43" s="7">
        <v>1.216</v>
      </c>
      <c r="G43" s="7"/>
      <c r="H43" s="7"/>
      <c r="I43" s="7">
        <v>11.665</v>
      </c>
      <c r="J43" s="8"/>
      <c r="K43" s="7"/>
      <c r="L43" s="7"/>
      <c r="M43" s="7"/>
      <c r="N43" s="7"/>
      <c r="O43" s="7"/>
      <c r="P43" s="7">
        <v>1.481</v>
      </c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14.361999999999998</v>
      </c>
      <c r="AB43" s="53">
        <f t="shared" si="4"/>
        <v>-17.663</v>
      </c>
      <c r="AD43" s="71"/>
      <c r="AE43" s="75"/>
      <c r="AF43" s="70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9.78</v>
      </c>
      <c r="D44" s="7"/>
      <c r="E44" s="7"/>
      <c r="F44" s="7">
        <v>1.062</v>
      </c>
      <c r="G44" s="7"/>
      <c r="H44" s="7"/>
      <c r="I44" s="7">
        <v>2.646</v>
      </c>
      <c r="J44" s="7"/>
      <c r="K44" s="7"/>
      <c r="L44" s="7"/>
      <c r="M44" s="7"/>
      <c r="N44" s="7"/>
      <c r="O44" s="7"/>
      <c r="P44" s="7">
        <v>1.54</v>
      </c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5.248</v>
      </c>
      <c r="AB44" s="53">
        <f t="shared" si="4"/>
        <v>-4.531999999999999</v>
      </c>
      <c r="AD44" s="71"/>
      <c r="AE44" s="75"/>
      <c r="AF44" s="70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131.852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42.489000000000004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39.521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82.01</v>
      </c>
      <c r="AB45" s="53">
        <f t="shared" si="4"/>
        <v>-49.842</v>
      </c>
      <c r="AD45" s="71"/>
      <c r="AE45" s="75"/>
      <c r="AF45" s="70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120.332</v>
      </c>
      <c r="D46" s="7"/>
      <c r="E46" s="7"/>
      <c r="F46" s="7"/>
      <c r="G46" s="7"/>
      <c r="H46" s="7">
        <v>38.435</v>
      </c>
      <c r="I46" s="7"/>
      <c r="J46" s="8"/>
      <c r="K46" s="7"/>
      <c r="L46" s="7"/>
      <c r="M46" s="7"/>
      <c r="N46" s="7"/>
      <c r="O46" s="7"/>
      <c r="P46" s="7"/>
      <c r="Q46" s="7"/>
      <c r="R46" s="25">
        <v>39.521</v>
      </c>
      <c r="S46" s="7"/>
      <c r="T46" s="7"/>
      <c r="U46" s="7"/>
      <c r="V46" s="8"/>
      <c r="W46" s="8"/>
      <c r="X46" s="8"/>
      <c r="Y46" s="8"/>
      <c r="Z46" s="8"/>
      <c r="AA46" s="7">
        <f>SUM(D46:Z46)</f>
        <v>77.956</v>
      </c>
      <c r="AB46" s="53">
        <f t="shared" si="4"/>
        <v>-42.37599999999999</v>
      </c>
      <c r="AD46" s="71"/>
      <c r="AE46" s="75"/>
      <c r="AF46" s="70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10.02</v>
      </c>
      <c r="D47" s="7"/>
      <c r="E47" s="7"/>
      <c r="F47" s="7"/>
      <c r="G47" s="7"/>
      <c r="H47" s="7">
        <v>3.994</v>
      </c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3.994</v>
      </c>
      <c r="AB47" s="53">
        <f t="shared" si="4"/>
        <v>-6.026</v>
      </c>
      <c r="AD47" s="71"/>
      <c r="AE47" s="75"/>
      <c r="AF47" s="70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1.5</v>
      </c>
      <c r="D48" s="7"/>
      <c r="E48" s="7"/>
      <c r="F48" s="7"/>
      <c r="G48" s="7"/>
      <c r="H48" s="7">
        <v>0.06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0.06</v>
      </c>
      <c r="AB48" s="53">
        <f t="shared" si="4"/>
        <v>-1.44</v>
      </c>
      <c r="AD48" s="71"/>
      <c r="AE48" s="75"/>
      <c r="AF48" s="70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0</v>
      </c>
      <c r="AB49" s="53">
        <f t="shared" si="4"/>
        <v>-16.1</v>
      </c>
      <c r="AD49" s="71"/>
      <c r="AE49" s="75"/>
      <c r="AF49" s="70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-6</v>
      </c>
      <c r="AD50" s="73"/>
      <c r="AE50" s="72"/>
      <c r="AF50" s="76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3"/>
      <c r="AE51" s="72"/>
      <c r="AF51" s="76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922.4159999999999</v>
      </c>
      <c r="D52" s="18">
        <f t="shared" si="14"/>
        <v>0</v>
      </c>
      <c r="E52" s="18">
        <f t="shared" si="14"/>
        <v>0</v>
      </c>
      <c r="F52" s="18">
        <f t="shared" si="14"/>
        <v>57.32</v>
      </c>
      <c r="G52" s="18">
        <f t="shared" si="14"/>
        <v>10.962</v>
      </c>
      <c r="H52" s="18">
        <f t="shared" si="14"/>
        <v>0</v>
      </c>
      <c r="I52" s="18">
        <f t="shared" si="14"/>
        <v>4.182</v>
      </c>
      <c r="J52" s="18">
        <f t="shared" si="14"/>
        <v>0</v>
      </c>
      <c r="K52" s="18">
        <f t="shared" si="14"/>
        <v>84.539</v>
      </c>
      <c r="L52" s="18">
        <f t="shared" si="14"/>
        <v>145.139</v>
      </c>
      <c r="M52" s="18">
        <f t="shared" si="14"/>
        <v>0</v>
      </c>
      <c r="N52" s="18">
        <f t="shared" si="14"/>
        <v>0</v>
      </c>
      <c r="O52" s="18">
        <f t="shared" si="14"/>
        <v>0.45</v>
      </c>
      <c r="P52" s="18">
        <f t="shared" si="14"/>
        <v>7.031</v>
      </c>
      <c r="Q52" s="18">
        <f t="shared" si="14"/>
        <v>0</v>
      </c>
      <c r="R52" s="18">
        <f t="shared" si="14"/>
        <v>0</v>
      </c>
      <c r="S52" s="18">
        <f t="shared" si="14"/>
        <v>140.407</v>
      </c>
      <c r="T52" s="18">
        <f>SUM(T53:T56)</f>
        <v>139.058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589.0880000000001</v>
      </c>
      <c r="AB52" s="53">
        <f t="shared" si="4"/>
        <v>-333.32799999999986</v>
      </c>
      <c r="AC52" s="4"/>
      <c r="AD52" s="70"/>
      <c r="AE52" s="70"/>
      <c r="AF52" s="70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488.525</v>
      </c>
      <c r="D53" s="7"/>
      <c r="E53" s="7"/>
      <c r="F53" s="7"/>
      <c r="G53" s="7"/>
      <c r="H53" s="7"/>
      <c r="I53" s="7"/>
      <c r="J53" s="8"/>
      <c r="K53" s="7"/>
      <c r="L53" s="7">
        <v>145.139</v>
      </c>
      <c r="M53" s="7"/>
      <c r="N53" s="7"/>
      <c r="O53" s="7"/>
      <c r="P53" s="25"/>
      <c r="Q53" s="7"/>
      <c r="R53" s="25"/>
      <c r="S53" s="7">
        <v>140.407</v>
      </c>
      <c r="T53" s="7">
        <v>139.058</v>
      </c>
      <c r="U53" s="7"/>
      <c r="V53" s="8"/>
      <c r="W53" s="8"/>
      <c r="X53" s="8"/>
      <c r="Y53" s="7"/>
      <c r="Z53" s="7"/>
      <c r="AA53" s="7">
        <f>SUM(D53:Z53)</f>
        <v>424.60400000000004</v>
      </c>
      <c r="AB53" s="53">
        <f t="shared" si="4"/>
        <v>-63.920999999999935</v>
      </c>
    </row>
    <row r="54" spans="2:28" ht="15.75">
      <c r="B54" s="3" t="s">
        <v>1</v>
      </c>
      <c r="C54" s="23">
        <f>324.612-0.51</f>
        <v>324.10200000000003</v>
      </c>
      <c r="D54" s="7"/>
      <c r="E54" s="7"/>
      <c r="F54" s="7">
        <v>57.08</v>
      </c>
      <c r="G54" s="7">
        <v>10.962</v>
      </c>
      <c r="H54" s="7"/>
      <c r="I54" s="7"/>
      <c r="J54" s="8"/>
      <c r="K54" s="7">
        <v>74.539</v>
      </c>
      <c r="L54" s="7"/>
      <c r="M54" s="7"/>
      <c r="N54" s="7"/>
      <c r="O54" s="7"/>
      <c r="P54" s="25">
        <v>6.385</v>
      </c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148.966</v>
      </c>
      <c r="AB54" s="53">
        <f t="shared" si="4"/>
        <v>-175.13600000000002</v>
      </c>
    </row>
    <row r="55" spans="2:28" ht="15.75">
      <c r="B55" s="3" t="s">
        <v>9</v>
      </c>
      <c r="C55" s="23">
        <v>0.02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-0.02</v>
      </c>
    </row>
    <row r="56" spans="2:29" ht="15.75">
      <c r="B56" s="3" t="s">
        <v>5</v>
      </c>
      <c r="C56" s="23">
        <v>109.769</v>
      </c>
      <c r="D56" s="7"/>
      <c r="E56" s="7"/>
      <c r="F56" s="7">
        <v>0.24</v>
      </c>
      <c r="G56" s="7"/>
      <c r="H56" s="7"/>
      <c r="I56" s="7">
        <v>4.182</v>
      </c>
      <c r="J56" s="7"/>
      <c r="K56" s="7">
        <v>10</v>
      </c>
      <c r="L56" s="7"/>
      <c r="M56" s="7"/>
      <c r="N56" s="7"/>
      <c r="O56" s="7">
        <v>0.45</v>
      </c>
      <c r="P56" s="7">
        <v>0.646</v>
      </c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15.518</v>
      </c>
      <c r="AB56" s="53">
        <f t="shared" si="4"/>
        <v>-94.251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581.995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16.225</v>
      </c>
      <c r="G57" s="18">
        <f t="shared" si="15"/>
        <v>54.632999999999996</v>
      </c>
      <c r="H57" s="18">
        <f t="shared" si="15"/>
        <v>7.907</v>
      </c>
      <c r="I57" s="18">
        <f t="shared" si="15"/>
        <v>0</v>
      </c>
      <c r="J57" s="18">
        <f t="shared" si="15"/>
        <v>0</v>
      </c>
      <c r="K57" s="18">
        <f t="shared" si="15"/>
        <v>102.151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11.46</v>
      </c>
      <c r="P57" s="18">
        <f t="shared" si="15"/>
        <v>5.82</v>
      </c>
      <c r="Q57" s="18">
        <f t="shared" si="15"/>
        <v>2.5</v>
      </c>
      <c r="R57" s="18">
        <f t="shared" si="15"/>
        <v>27.141000000000002</v>
      </c>
      <c r="S57" s="18">
        <f t="shared" si="15"/>
        <v>0</v>
      </c>
      <c r="T57" s="18">
        <f>SUM(T58:T62)</f>
        <v>171.656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399.493</v>
      </c>
      <c r="AB57" s="53">
        <f t="shared" si="4"/>
        <v>-182.502</v>
      </c>
      <c r="AC57" s="4"/>
      <c r="AD57" s="70"/>
      <c r="AE57" s="70"/>
      <c r="AF57" s="70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329.533</v>
      </c>
      <c r="D58" s="7"/>
      <c r="E58" s="7"/>
      <c r="F58" s="7"/>
      <c r="G58" s="7">
        <v>1.69</v>
      </c>
      <c r="H58" s="7"/>
      <c r="I58" s="7"/>
      <c r="J58" s="25"/>
      <c r="K58" s="7">
        <v>95.47</v>
      </c>
      <c r="L58" s="7"/>
      <c r="M58" s="7"/>
      <c r="N58" s="7"/>
      <c r="O58" s="7"/>
      <c r="P58" s="25"/>
      <c r="Q58" s="7"/>
      <c r="R58" s="25"/>
      <c r="S58" s="7"/>
      <c r="T58" s="7">
        <v>157.276</v>
      </c>
      <c r="U58" s="7"/>
      <c r="V58" s="8"/>
      <c r="W58" s="8"/>
      <c r="X58" s="7"/>
      <c r="Y58" s="7"/>
      <c r="Z58" s="7"/>
      <c r="AA58" s="7">
        <f>SUM(D58:Z58)</f>
        <v>254.436</v>
      </c>
      <c r="AB58" s="53">
        <f t="shared" si="4"/>
        <v>-75.09700000000001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124.338</v>
      </c>
      <c r="D60" s="7"/>
      <c r="E60" s="7"/>
      <c r="F60" s="7">
        <v>5.95</v>
      </c>
      <c r="G60" s="7">
        <v>42.863</v>
      </c>
      <c r="H60" s="7"/>
      <c r="I60" s="7"/>
      <c r="J60" s="8"/>
      <c r="K60" s="7">
        <v>4.179</v>
      </c>
      <c r="L60" s="7"/>
      <c r="M60" s="7"/>
      <c r="N60" s="7"/>
      <c r="O60" s="7"/>
      <c r="P60" s="25"/>
      <c r="Q60" s="7"/>
      <c r="R60" s="7">
        <v>7.306</v>
      </c>
      <c r="S60" s="7"/>
      <c r="T60" s="7">
        <v>0.432</v>
      </c>
      <c r="U60" s="7"/>
      <c r="V60" s="8"/>
      <c r="W60" s="8"/>
      <c r="X60" s="7"/>
      <c r="Y60" s="7"/>
      <c r="Z60" s="7"/>
      <c r="AA60" s="7">
        <f>SUM(D60:Z60)</f>
        <v>60.730000000000004</v>
      </c>
      <c r="AB60" s="53">
        <f t="shared" si="4"/>
        <v>-63.60799999999999</v>
      </c>
    </row>
    <row r="61" spans="2:28" ht="15.75">
      <c r="B61" s="3" t="s">
        <v>10</v>
      </c>
      <c r="C61" s="23">
        <v>36.917</v>
      </c>
      <c r="D61" s="7"/>
      <c r="E61" s="7"/>
      <c r="F61" s="7"/>
      <c r="G61" s="7"/>
      <c r="H61" s="7">
        <v>7.907</v>
      </c>
      <c r="I61" s="7"/>
      <c r="J61" s="8"/>
      <c r="K61" s="7">
        <v>2.502</v>
      </c>
      <c r="L61" s="7"/>
      <c r="M61" s="7"/>
      <c r="N61" s="7"/>
      <c r="O61" s="7"/>
      <c r="P61" s="7"/>
      <c r="Q61" s="7"/>
      <c r="R61" s="7">
        <v>17.335</v>
      </c>
      <c r="S61" s="7"/>
      <c r="T61" s="7"/>
      <c r="U61" s="7"/>
      <c r="V61" s="8"/>
      <c r="W61" s="7"/>
      <c r="X61" s="8"/>
      <c r="Y61" s="8"/>
      <c r="Z61" s="8"/>
      <c r="AA61" s="7">
        <f>SUM(D61:Z61)</f>
        <v>27.744</v>
      </c>
      <c r="AB61" s="53">
        <f t="shared" si="4"/>
        <v>-9.173000000000002</v>
      </c>
    </row>
    <row r="62" spans="2:28" ht="15.75">
      <c r="B62" s="3" t="s">
        <v>5</v>
      </c>
      <c r="C62" s="23">
        <v>91.207</v>
      </c>
      <c r="D62" s="7"/>
      <c r="E62" s="7"/>
      <c r="F62" s="7">
        <v>10.275</v>
      </c>
      <c r="G62" s="7">
        <v>10.08</v>
      </c>
      <c r="H62" s="7"/>
      <c r="I62" s="7"/>
      <c r="J62" s="7"/>
      <c r="K62" s="7"/>
      <c r="L62" s="7"/>
      <c r="M62" s="7"/>
      <c r="N62" s="7"/>
      <c r="O62" s="7">
        <v>11.46</v>
      </c>
      <c r="P62" s="7">
        <v>5.82</v>
      </c>
      <c r="Q62" s="7">
        <v>2.5</v>
      </c>
      <c r="R62" s="7">
        <v>2.5</v>
      </c>
      <c r="S62" s="7"/>
      <c r="T62" s="7">
        <v>13.948</v>
      </c>
      <c r="U62" s="7"/>
      <c r="V62" s="7"/>
      <c r="W62" s="7"/>
      <c r="X62" s="7"/>
      <c r="Y62" s="7"/>
      <c r="Z62" s="7"/>
      <c r="AA62" s="7">
        <f>SUM(D62:Z62)</f>
        <v>56.583000000000006</v>
      </c>
      <c r="AB62" s="53">
        <f t="shared" si="4"/>
        <v>-34.62399999999999</v>
      </c>
    </row>
    <row r="63" spans="2:28" ht="15.75">
      <c r="B63" s="13" t="s">
        <v>44</v>
      </c>
      <c r="C63" s="18">
        <f>C64+C65</f>
        <v>2410.446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17.591</v>
      </c>
      <c r="G63" s="18">
        <f t="shared" si="16"/>
        <v>674.707</v>
      </c>
      <c r="H63" s="18">
        <f t="shared" si="16"/>
        <v>0</v>
      </c>
      <c r="I63" s="18">
        <f t="shared" si="16"/>
        <v>37.225</v>
      </c>
      <c r="J63" s="18">
        <f t="shared" si="16"/>
        <v>13.874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451.871</v>
      </c>
      <c r="Q63" s="18">
        <f t="shared" si="16"/>
        <v>23.5</v>
      </c>
      <c r="R63" s="18">
        <f t="shared" si="16"/>
        <v>0</v>
      </c>
      <c r="S63" s="18">
        <f t="shared" si="16"/>
        <v>0</v>
      </c>
      <c r="T63" s="18">
        <f>T64+T65</f>
        <v>51.266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1270.034</v>
      </c>
      <c r="AB63" s="53">
        <f t="shared" si="4"/>
        <v>-1140.4119999999998</v>
      </c>
    </row>
    <row r="64" spans="2:28" ht="15.75">
      <c r="B64" s="32" t="s">
        <v>49</v>
      </c>
      <c r="C64" s="27">
        <v>280</v>
      </c>
      <c r="D64" s="8"/>
      <c r="E64" s="8"/>
      <c r="F64" s="8">
        <v>14.23</v>
      </c>
      <c r="G64" s="8"/>
      <c r="H64" s="8"/>
      <c r="I64" s="8"/>
      <c r="J64" s="8">
        <v>13.874</v>
      </c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28.104</v>
      </c>
      <c r="AB64" s="53">
        <f t="shared" si="4"/>
        <v>-251.89600000000002</v>
      </c>
    </row>
    <row r="65" spans="2:28" ht="15.75">
      <c r="B65" s="32" t="s">
        <v>10</v>
      </c>
      <c r="C65" s="27">
        <v>2130.446</v>
      </c>
      <c r="D65" s="8"/>
      <c r="E65" s="8"/>
      <c r="F65" s="8">
        <v>3.361</v>
      </c>
      <c r="G65" s="8">
        <v>674.707</v>
      </c>
      <c r="H65" s="8"/>
      <c r="I65" s="8">
        <v>37.225</v>
      </c>
      <c r="J65" s="8"/>
      <c r="K65" s="8"/>
      <c r="L65" s="8"/>
      <c r="M65" s="8"/>
      <c r="N65" s="8"/>
      <c r="O65" s="8"/>
      <c r="P65" s="8">
        <v>451.871</v>
      </c>
      <c r="Q65" s="8">
        <v>23.5</v>
      </c>
      <c r="R65" s="8"/>
      <c r="S65" s="8"/>
      <c r="T65" s="8">
        <v>51.266</v>
      </c>
      <c r="U65" s="8"/>
      <c r="V65" s="8"/>
      <c r="W65" s="8"/>
      <c r="X65" s="8"/>
      <c r="Y65" s="8"/>
      <c r="Z65" s="8"/>
      <c r="AA65" s="8">
        <f>SUM(D65:Z65)</f>
        <v>1241.93</v>
      </c>
      <c r="AB65" s="53">
        <f t="shared" si="4"/>
        <v>-888.5159999999998</v>
      </c>
    </row>
    <row r="66" spans="2:28" ht="15.75">
      <c r="B66" s="13" t="s">
        <v>63</v>
      </c>
      <c r="C66" s="18">
        <f>C67+C68</f>
        <v>31.654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13.773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0.654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14.427</v>
      </c>
      <c r="AB66" s="53">
        <f t="shared" si="4"/>
        <v>-17.227</v>
      </c>
    </row>
    <row r="67" spans="2:28" ht="15.75">
      <c r="B67" s="3" t="s">
        <v>1</v>
      </c>
      <c r="C67" s="27">
        <v>31</v>
      </c>
      <c r="D67" s="8"/>
      <c r="E67" s="8"/>
      <c r="F67" s="8"/>
      <c r="G67" s="8"/>
      <c r="H67" s="8"/>
      <c r="I67" s="8"/>
      <c r="J67" s="8">
        <v>13.773</v>
      </c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13.773</v>
      </c>
      <c r="AB67" s="53">
        <f t="shared" si="4"/>
        <v>-17.227</v>
      </c>
    </row>
    <row r="68" spans="2:28" ht="15.75">
      <c r="B68" s="3" t="s">
        <v>10</v>
      </c>
      <c r="C68" s="27">
        <v>0.654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>
        <v>0.654</v>
      </c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 aca="true" t="shared" si="18" ref="D69:AA70">AA70</f>
        <v>0</v>
      </c>
      <c r="AB69" s="53">
        <f t="shared" si="4"/>
        <v>0</v>
      </c>
    </row>
    <row r="70" spans="1:29" ht="15.75">
      <c r="A70" s="10">
        <v>170703</v>
      </c>
      <c r="B70" s="13" t="s">
        <v>45</v>
      </c>
      <c r="C70" s="18">
        <f>C71</f>
        <v>294.7</v>
      </c>
      <c r="D70" s="18">
        <f t="shared" si="18"/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0</v>
      </c>
      <c r="AB70" s="53">
        <f t="shared" si="4"/>
        <v>-294.7</v>
      </c>
      <c r="AC70" s="35"/>
    </row>
    <row r="71" spans="2:40" s="35" customFormat="1" ht="15.75">
      <c r="B71" s="32" t="s">
        <v>49</v>
      </c>
      <c r="C71" s="27">
        <f>300-5.3</f>
        <v>294.7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0</v>
      </c>
      <c r="AB71" s="53">
        <f aca="true" t="shared" si="20" ref="AB71:AB85">AA71-C71</f>
        <v>-294.7</v>
      </c>
      <c r="AD71" s="73"/>
      <c r="AE71" s="73"/>
      <c r="AF71" s="73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20"/>
        <v>0</v>
      </c>
      <c r="AD72" s="73"/>
      <c r="AE72" s="73"/>
      <c r="AF72" s="73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38</v>
      </c>
      <c r="D73" s="18"/>
      <c r="E73" s="18"/>
      <c r="F73" s="18">
        <v>7.967</v>
      </c>
      <c r="G73" s="18"/>
      <c r="H73" s="18"/>
      <c r="I73" s="18"/>
      <c r="J73" s="18"/>
      <c r="K73" s="18">
        <v>7.933</v>
      </c>
      <c r="L73" s="18"/>
      <c r="M73" s="18"/>
      <c r="N73" s="18"/>
      <c r="O73" s="18">
        <v>19.918</v>
      </c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35.818</v>
      </c>
      <c r="AB73" s="53">
        <f t="shared" si="20"/>
        <v>-2.182000000000002</v>
      </c>
      <c r="AD73" s="73"/>
      <c r="AE73" s="73"/>
      <c r="AF73" s="73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0.8</v>
      </c>
      <c r="D74" s="18"/>
      <c r="E74" s="18"/>
      <c r="F74" s="18"/>
      <c r="G74" s="18"/>
      <c r="H74" s="18"/>
      <c r="I74" s="18"/>
      <c r="J74" s="18"/>
      <c r="K74" s="18"/>
      <c r="L74" s="18"/>
      <c r="M74" s="18">
        <v>0.772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0.772</v>
      </c>
      <c r="AB74" s="53">
        <f t="shared" si="20"/>
        <v>-0.028000000000000025</v>
      </c>
      <c r="AD74" s="73"/>
      <c r="AE74" s="73"/>
      <c r="AF74" s="73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33.5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20"/>
        <v>-33.5</v>
      </c>
      <c r="AD75" s="70"/>
      <c r="AE75" s="70"/>
      <c r="AF75" s="70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/>
      <c r="K76" s="18"/>
      <c r="L76" s="18">
        <v>1231.95</v>
      </c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20"/>
        <v>0</v>
      </c>
      <c r="AD76" s="70"/>
      <c r="AE76" s="70"/>
      <c r="AF76" s="70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/>
      <c r="E77" s="18"/>
      <c r="F77" s="18"/>
      <c r="G77" s="18"/>
      <c r="H77" s="18">
        <v>58.903</v>
      </c>
      <c r="I77" s="18"/>
      <c r="J77" s="18">
        <v>3.503</v>
      </c>
      <c r="K77" s="18">
        <v>3.746</v>
      </c>
      <c r="L77" s="18"/>
      <c r="M77" s="18">
        <v>11.368</v>
      </c>
      <c r="N77" s="18">
        <v>5.684</v>
      </c>
      <c r="O77" s="18">
        <v>141.097</v>
      </c>
      <c r="P77" s="18">
        <v>60.06</v>
      </c>
      <c r="Q77" s="18">
        <v>269.834</v>
      </c>
      <c r="R77" s="18">
        <v>2</v>
      </c>
      <c r="S77" s="18">
        <v>45.263</v>
      </c>
      <c r="T77" s="18">
        <v>290.166</v>
      </c>
      <c r="U77" s="18">
        <v>1</v>
      </c>
      <c r="V77" s="18"/>
      <c r="W77" s="18"/>
      <c r="X77" s="18"/>
      <c r="Y77" s="18"/>
      <c r="Z77" s="18"/>
      <c r="AA77" s="18">
        <f t="shared" si="19"/>
        <v>892.624</v>
      </c>
      <c r="AB77" s="53">
        <f t="shared" si="20"/>
        <v>892.624</v>
      </c>
      <c r="AD77" s="70"/>
      <c r="AE77" s="70"/>
      <c r="AF77" s="70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28625.846000000005</v>
      </c>
      <c r="D78" s="26">
        <f aca="true" t="shared" si="21" ref="D78:AA78">SUM(D79:D85)</f>
        <v>0</v>
      </c>
      <c r="E78" s="26">
        <f t="shared" si="21"/>
        <v>1231.95</v>
      </c>
      <c r="F78" s="26">
        <f t="shared" si="21"/>
        <v>557.176</v>
      </c>
      <c r="G78" s="26">
        <f t="shared" si="21"/>
        <v>810.696</v>
      </c>
      <c r="H78" s="26">
        <f t="shared" si="21"/>
        <v>215.772</v>
      </c>
      <c r="I78" s="26">
        <f t="shared" si="21"/>
        <v>942.0870000000001</v>
      </c>
      <c r="J78" s="26">
        <f t="shared" si="21"/>
        <v>462.245</v>
      </c>
      <c r="K78" s="26">
        <f t="shared" si="21"/>
        <v>4471.869</v>
      </c>
      <c r="L78" s="26">
        <f t="shared" si="21"/>
        <v>1393.6200000000001</v>
      </c>
      <c r="M78" s="26">
        <f t="shared" si="21"/>
        <v>984.467</v>
      </c>
      <c r="N78" s="26">
        <f t="shared" si="21"/>
        <v>7.884</v>
      </c>
      <c r="O78" s="26">
        <f t="shared" si="21"/>
        <v>313.611</v>
      </c>
      <c r="P78" s="26">
        <f t="shared" si="21"/>
        <v>575.432</v>
      </c>
      <c r="Q78" s="26">
        <f t="shared" si="21"/>
        <v>601.136</v>
      </c>
      <c r="R78" s="26">
        <f t="shared" si="21"/>
        <v>1493.3070000000002</v>
      </c>
      <c r="S78" s="26">
        <f t="shared" si="21"/>
        <v>3310.1059999999998</v>
      </c>
      <c r="T78" s="26">
        <f>SUM(T79:T85)</f>
        <v>3395.114</v>
      </c>
      <c r="U78" s="26">
        <f t="shared" si="21"/>
        <v>12.963000000000001</v>
      </c>
      <c r="V78" s="26">
        <f t="shared" si="21"/>
        <v>0</v>
      </c>
      <c r="W78" s="26">
        <f t="shared" si="21"/>
        <v>0</v>
      </c>
      <c r="X78" s="26">
        <f t="shared" si="21"/>
        <v>0</v>
      </c>
      <c r="Y78" s="26">
        <f t="shared" si="21"/>
        <v>0</v>
      </c>
      <c r="Z78" s="26">
        <f t="shared" si="21"/>
        <v>0</v>
      </c>
      <c r="AA78" s="26">
        <f t="shared" si="21"/>
        <v>20779.435</v>
      </c>
      <c r="AB78" s="53">
        <f t="shared" si="20"/>
        <v>-7846.411000000004</v>
      </c>
      <c r="AC78" s="4"/>
      <c r="AD78" s="70"/>
      <c r="AE78" s="70"/>
      <c r="AF78" s="70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13938.080000000002</v>
      </c>
      <c r="D79" s="23">
        <f aca="true" t="shared" si="22" ref="D79:AA79">D20+D36+D42+D46+D50+D53+D58+D24</f>
        <v>0</v>
      </c>
      <c r="E79" s="23">
        <f t="shared" si="22"/>
        <v>0</v>
      </c>
      <c r="F79" s="23">
        <f t="shared" si="22"/>
        <v>14.531</v>
      </c>
      <c r="G79" s="23">
        <f t="shared" si="22"/>
        <v>3.992</v>
      </c>
      <c r="H79" s="23">
        <f t="shared" si="22"/>
        <v>42.49</v>
      </c>
      <c r="I79" s="23">
        <f t="shared" si="22"/>
        <v>663.205</v>
      </c>
      <c r="J79" s="23">
        <f t="shared" si="22"/>
        <v>216.953</v>
      </c>
      <c r="K79" s="23">
        <f t="shared" si="22"/>
        <v>3659.96</v>
      </c>
      <c r="L79" s="23">
        <f t="shared" si="22"/>
        <v>159.049</v>
      </c>
      <c r="M79" s="23">
        <f t="shared" si="22"/>
        <v>182.706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153.529</v>
      </c>
      <c r="R79" s="23">
        <f t="shared" si="22"/>
        <v>1087.208</v>
      </c>
      <c r="S79" s="23">
        <f t="shared" si="22"/>
        <v>2752.625</v>
      </c>
      <c r="T79" s="23">
        <f t="shared" si="22"/>
        <v>2798.742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11734.990000000002</v>
      </c>
      <c r="AB79" s="53">
        <f t="shared" si="20"/>
        <v>-2203.09</v>
      </c>
      <c r="AC79" s="4"/>
      <c r="AD79" s="71"/>
      <c r="AE79" s="71"/>
      <c r="AF79" s="71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13.299999999999999</v>
      </c>
      <c r="D80" s="23">
        <f aca="true" t="shared" si="23" ref="D80:AA80">D25+D37+D59</f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3.596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2.099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5.695</v>
      </c>
      <c r="AB80" s="53">
        <f t="shared" si="20"/>
        <v>-7.604999999999999</v>
      </c>
      <c r="AC80" s="4"/>
      <c r="AD80" s="71"/>
      <c r="AE80" s="71"/>
      <c r="AF80" s="71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856.8309999999999</v>
      </c>
      <c r="D81" s="23">
        <f aca="true" t="shared" si="24" ref="D81:AA81">D26+D38</f>
        <v>0</v>
      </c>
      <c r="E81" s="23">
        <f t="shared" si="24"/>
        <v>0</v>
      </c>
      <c r="F81" s="23">
        <f t="shared" si="24"/>
        <v>21.651</v>
      </c>
      <c r="G81" s="23">
        <f t="shared" si="24"/>
        <v>34.968</v>
      </c>
      <c r="H81" s="23">
        <f t="shared" si="24"/>
        <v>27.49</v>
      </c>
      <c r="I81" s="23">
        <f t="shared" si="24"/>
        <v>75.629</v>
      </c>
      <c r="J81" s="23">
        <f t="shared" si="24"/>
        <v>26.915</v>
      </c>
      <c r="K81" s="23">
        <f t="shared" si="24"/>
        <v>88.781</v>
      </c>
      <c r="L81" s="23">
        <f t="shared" si="24"/>
        <v>0</v>
      </c>
      <c r="M81" s="23">
        <f t="shared" si="24"/>
        <v>70.927</v>
      </c>
      <c r="N81" s="23">
        <f t="shared" si="24"/>
        <v>0</v>
      </c>
      <c r="O81" s="23">
        <f t="shared" si="24"/>
        <v>16.704</v>
      </c>
      <c r="P81" s="23">
        <f t="shared" si="24"/>
        <v>0</v>
      </c>
      <c r="Q81" s="23">
        <f t="shared" si="24"/>
        <v>49.94</v>
      </c>
      <c r="R81" s="23">
        <f t="shared" si="24"/>
        <v>114.094</v>
      </c>
      <c r="S81" s="23">
        <f t="shared" si="24"/>
        <v>45.5</v>
      </c>
      <c r="T81" s="23">
        <f t="shared" si="24"/>
        <v>94.803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667.4019999999999</v>
      </c>
      <c r="AB81" s="53">
        <f t="shared" si="20"/>
        <v>-189.42899999999997</v>
      </c>
      <c r="AC81" s="4"/>
      <c r="AD81" s="71"/>
      <c r="AE81" s="71"/>
      <c r="AF81" s="71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5506.1889999999985</v>
      </c>
      <c r="D82" s="23">
        <f aca="true" t="shared" si="25" ref="D82:AA82">D21+D27+D39+D43+D47+D54+D60+D67</f>
        <v>0</v>
      </c>
      <c r="E82" s="23">
        <f t="shared" si="25"/>
        <v>0</v>
      </c>
      <c r="F82" s="23">
        <f t="shared" si="25"/>
        <v>434.286</v>
      </c>
      <c r="G82" s="23">
        <f t="shared" si="25"/>
        <v>71.31700000000001</v>
      </c>
      <c r="H82" s="23">
        <f t="shared" si="25"/>
        <v>29.976</v>
      </c>
      <c r="I82" s="23">
        <f t="shared" si="25"/>
        <v>72.98599999999999</v>
      </c>
      <c r="J82" s="23">
        <f t="shared" si="25"/>
        <v>155.352</v>
      </c>
      <c r="K82" s="23">
        <f t="shared" si="25"/>
        <v>628.643</v>
      </c>
      <c r="L82" s="23">
        <f t="shared" si="25"/>
        <v>2.621</v>
      </c>
      <c r="M82" s="23">
        <f t="shared" si="25"/>
        <v>634.0500000000001</v>
      </c>
      <c r="N82" s="23">
        <f t="shared" si="25"/>
        <v>0</v>
      </c>
      <c r="O82" s="23">
        <f t="shared" si="25"/>
        <v>114.10000000000001</v>
      </c>
      <c r="P82" s="23">
        <f t="shared" si="25"/>
        <v>8.344</v>
      </c>
      <c r="Q82" s="23">
        <f t="shared" si="25"/>
        <v>48.356</v>
      </c>
      <c r="R82" s="23">
        <f t="shared" si="25"/>
        <v>246.81500000000003</v>
      </c>
      <c r="S82" s="23">
        <f t="shared" si="25"/>
        <v>99.506</v>
      </c>
      <c r="T82" s="23">
        <f t="shared" si="25"/>
        <v>40.149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2586.5010000000007</v>
      </c>
      <c r="AB82" s="53">
        <f t="shared" si="20"/>
        <v>-2919.687999999998</v>
      </c>
      <c r="AC82" s="4"/>
      <c r="AD82" s="71"/>
      <c r="AE82" s="71"/>
      <c r="AF82" s="71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0.02</v>
      </c>
      <c r="D83" s="23">
        <f aca="true" t="shared" si="26" ref="D83:AA83">D55</f>
        <v>0</v>
      </c>
      <c r="E83" s="23">
        <f t="shared" si="26"/>
        <v>0</v>
      </c>
      <c r="F83" s="23">
        <f t="shared" si="26"/>
        <v>0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0</v>
      </c>
      <c r="AB83" s="53">
        <f t="shared" si="20"/>
        <v>-0.02</v>
      </c>
      <c r="AC83" s="4"/>
      <c r="AD83" s="71"/>
      <c r="AE83" s="71"/>
      <c r="AF83" s="71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5761.121000000001</v>
      </c>
      <c r="D84" s="23">
        <f aca="true" t="shared" si="27" ref="D84:AA84">D30+D51+D61+D65+D76+D31+D68</f>
        <v>0</v>
      </c>
      <c r="E84" s="23">
        <f t="shared" si="27"/>
        <v>1231.95</v>
      </c>
      <c r="F84" s="23">
        <f t="shared" si="27"/>
        <v>3.361</v>
      </c>
      <c r="G84" s="23">
        <f t="shared" si="27"/>
        <v>674.707</v>
      </c>
      <c r="H84" s="23">
        <f t="shared" si="27"/>
        <v>7.907</v>
      </c>
      <c r="I84" s="23">
        <f t="shared" si="27"/>
        <v>82.864</v>
      </c>
      <c r="J84" s="23">
        <f t="shared" si="27"/>
        <v>0</v>
      </c>
      <c r="K84" s="23">
        <f t="shared" si="27"/>
        <v>29.794999999999998</v>
      </c>
      <c r="L84" s="23">
        <f t="shared" si="27"/>
        <v>1231.95</v>
      </c>
      <c r="M84" s="23">
        <f t="shared" si="27"/>
        <v>23.987</v>
      </c>
      <c r="N84" s="23">
        <f t="shared" si="27"/>
        <v>0</v>
      </c>
      <c r="O84" s="23">
        <f t="shared" si="27"/>
        <v>0</v>
      </c>
      <c r="P84" s="23">
        <f t="shared" si="27"/>
        <v>451.871</v>
      </c>
      <c r="Q84" s="23">
        <f t="shared" si="27"/>
        <v>72.59</v>
      </c>
      <c r="R84" s="23">
        <f t="shared" si="27"/>
        <v>17.335</v>
      </c>
      <c r="S84" s="23">
        <f t="shared" si="27"/>
        <v>0</v>
      </c>
      <c r="T84" s="23">
        <f t="shared" si="27"/>
        <v>51.92</v>
      </c>
      <c r="U84" s="23">
        <f t="shared" si="27"/>
        <v>10.343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3890.5800000000004</v>
      </c>
      <c r="AB84" s="53">
        <f t="shared" si="20"/>
        <v>-1870.5410000000006</v>
      </c>
      <c r="AC84" s="4"/>
      <c r="AD84" s="71"/>
      <c r="AE84" s="71"/>
      <c r="AF84" s="71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2550.305</v>
      </c>
      <c r="D85" s="23">
        <f aca="true" t="shared" si="28" ref="D85:AA85">D22+D28+D32+D33+D40+D44+D48+D56+D62+D71+D74+D75+D77+D64+D73+D72+D34+D69</f>
        <v>0</v>
      </c>
      <c r="E85" s="23">
        <f t="shared" si="28"/>
        <v>0</v>
      </c>
      <c r="F85" s="23">
        <f t="shared" si="28"/>
        <v>83.347</v>
      </c>
      <c r="G85" s="23">
        <f t="shared" si="28"/>
        <v>25.712000000000003</v>
      </c>
      <c r="H85" s="23">
        <f t="shared" si="28"/>
        <v>107.90899999999999</v>
      </c>
      <c r="I85" s="23">
        <f t="shared" si="28"/>
        <v>43.80700000000001</v>
      </c>
      <c r="J85" s="23">
        <f t="shared" si="28"/>
        <v>63.025000000000006</v>
      </c>
      <c r="K85" s="23">
        <f t="shared" si="28"/>
        <v>64.69</v>
      </c>
      <c r="L85" s="23">
        <f t="shared" si="28"/>
        <v>0</v>
      </c>
      <c r="M85" s="23">
        <f t="shared" si="28"/>
        <v>72.797</v>
      </c>
      <c r="N85" s="23">
        <f t="shared" si="28"/>
        <v>7.884</v>
      </c>
      <c r="O85" s="23">
        <f t="shared" si="28"/>
        <v>182.80700000000002</v>
      </c>
      <c r="P85" s="23">
        <f t="shared" si="28"/>
        <v>115.21700000000001</v>
      </c>
      <c r="Q85" s="23">
        <f t="shared" si="28"/>
        <v>276.721</v>
      </c>
      <c r="R85" s="23">
        <f t="shared" si="28"/>
        <v>27.855</v>
      </c>
      <c r="S85" s="23">
        <f t="shared" si="28"/>
        <v>412.47499999999997</v>
      </c>
      <c r="T85" s="23">
        <f t="shared" si="28"/>
        <v>407.401</v>
      </c>
      <c r="U85" s="23">
        <f t="shared" si="28"/>
        <v>2.62</v>
      </c>
      <c r="V85" s="23">
        <f t="shared" si="28"/>
        <v>0</v>
      </c>
      <c r="W85" s="23">
        <f t="shared" si="28"/>
        <v>0</v>
      </c>
      <c r="X85" s="23">
        <f t="shared" si="28"/>
        <v>0</v>
      </c>
      <c r="Y85" s="23">
        <f t="shared" si="28"/>
        <v>0</v>
      </c>
      <c r="Z85" s="23">
        <f t="shared" si="28"/>
        <v>0</v>
      </c>
      <c r="AA85" s="23">
        <f t="shared" si="28"/>
        <v>1894.2670000000003</v>
      </c>
      <c r="AB85" s="53">
        <f t="shared" si="20"/>
        <v>-656.0379999999996</v>
      </c>
      <c r="AC85" s="4"/>
      <c r="AD85" s="71"/>
      <c r="AE85" s="71"/>
      <c r="AF85" s="71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D86" s="71"/>
      <c r="AE86" s="71"/>
      <c r="AF86" s="71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9" ref="C87:Y87">C18-C78</f>
        <v>0</v>
      </c>
      <c r="D87" s="20">
        <f t="shared" si="29"/>
        <v>0</v>
      </c>
      <c r="E87" s="20">
        <f t="shared" si="29"/>
        <v>0</v>
      </c>
      <c r="F87" s="20">
        <f t="shared" si="29"/>
        <v>0</v>
      </c>
      <c r="G87" s="20">
        <f t="shared" si="29"/>
        <v>0</v>
      </c>
      <c r="H87" s="20">
        <f t="shared" si="29"/>
        <v>0</v>
      </c>
      <c r="I87" s="20">
        <f t="shared" si="29"/>
        <v>0</v>
      </c>
      <c r="J87" s="20">
        <f t="shared" si="29"/>
        <v>0</v>
      </c>
      <c r="K87" s="20">
        <f t="shared" si="29"/>
        <v>0</v>
      </c>
      <c r="L87" s="20">
        <f t="shared" si="29"/>
        <v>0</v>
      </c>
      <c r="M87" s="20">
        <f t="shared" si="29"/>
        <v>0</v>
      </c>
      <c r="N87" s="20">
        <f t="shared" si="29"/>
        <v>0</v>
      </c>
      <c r="O87" s="20">
        <f t="shared" si="29"/>
        <v>0</v>
      </c>
      <c r="P87" s="20">
        <f t="shared" si="29"/>
        <v>0</v>
      </c>
      <c r="Q87" s="20">
        <f t="shared" si="29"/>
        <v>0</v>
      </c>
      <c r="R87" s="20">
        <f t="shared" si="29"/>
        <v>0</v>
      </c>
      <c r="S87" s="20">
        <f t="shared" si="29"/>
        <v>0</v>
      </c>
      <c r="T87" s="20">
        <f t="shared" si="29"/>
        <v>0</v>
      </c>
      <c r="U87" s="20">
        <f t="shared" si="29"/>
        <v>0</v>
      </c>
      <c r="V87" s="20">
        <f t="shared" si="29"/>
        <v>0</v>
      </c>
      <c r="W87" s="20">
        <f t="shared" si="29"/>
        <v>0</v>
      </c>
      <c r="X87" s="20">
        <f t="shared" si="29"/>
        <v>0</v>
      </c>
      <c r="Y87" s="20">
        <f t="shared" si="29"/>
        <v>0</v>
      </c>
      <c r="Z87" s="20"/>
      <c r="AA87" s="20">
        <f>AA18-AA78</f>
        <v>0</v>
      </c>
      <c r="AB87" s="51"/>
      <c r="AC87" s="4"/>
      <c r="AD87" s="71"/>
      <c r="AE87" s="71"/>
      <c r="AF87" s="71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D88" s="71"/>
      <c r="AE88" s="71"/>
      <c r="AF88" s="71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D89" s="71"/>
      <c r="AE89" s="71"/>
      <c r="AF89" s="71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D91" s="71"/>
      <c r="AE91" s="71"/>
      <c r="AF91" s="71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6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3:AN170"/>
  <sheetViews>
    <sheetView view="pageBreakPreview" zoomScale="75" zoomScaleNormal="70" zoomScaleSheetLayoutView="75" workbookViewId="0" topLeftCell="B1">
      <pane xSplit="4260" ySplit="2265" topLeftCell="B1" activePane="bottomRight" state="split"/>
      <selection pane="topLeft" activeCell="B73" sqref="B73"/>
      <selection pane="topRight" activeCell="AJ5" sqref="AJ5"/>
      <selection pane="bottomLeft" activeCell="B5" sqref="B5"/>
      <selection pane="bottomRight" activeCell="AG17" sqref="AG17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65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4</v>
      </c>
      <c r="F5" s="5">
        <v>5</v>
      </c>
      <c r="G5" s="5">
        <v>6</v>
      </c>
      <c r="H5" s="5">
        <v>7</v>
      </c>
      <c r="I5" s="5">
        <v>11</v>
      </c>
      <c r="J5" s="6">
        <v>12</v>
      </c>
      <c r="K5" s="5">
        <v>13</v>
      </c>
      <c r="L5" s="5">
        <v>14</v>
      </c>
      <c r="M5" s="5">
        <v>15</v>
      </c>
      <c r="N5" s="5">
        <v>18</v>
      </c>
      <c r="O5" s="5">
        <v>19</v>
      </c>
      <c r="P5" s="5">
        <v>20</v>
      </c>
      <c r="Q5" s="5">
        <v>21</v>
      </c>
      <c r="R5" s="5">
        <v>22</v>
      </c>
      <c r="S5" s="5">
        <v>25</v>
      </c>
      <c r="T5" s="5">
        <v>26</v>
      </c>
      <c r="U5" s="5">
        <v>27</v>
      </c>
      <c r="V5" s="6">
        <v>28</v>
      </c>
      <c r="W5" s="5">
        <v>29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3600.3</v>
      </c>
      <c r="D7" s="1">
        <v>1800.1</v>
      </c>
      <c r="E7" s="7"/>
      <c r="F7" s="7"/>
      <c r="G7" s="7"/>
      <c r="H7" s="7"/>
      <c r="I7" s="7">
        <v>1800.2</v>
      </c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16008.3</v>
      </c>
      <c r="D8" s="37">
        <f aca="true" t="shared" si="1" ref="D8:Y8">SUM(D9:D16)</f>
        <v>198.5</v>
      </c>
      <c r="E8" s="37">
        <f t="shared" si="1"/>
        <v>270.9</v>
      </c>
      <c r="F8" s="37">
        <f t="shared" si="1"/>
        <v>321.9</v>
      </c>
      <c r="G8" s="37">
        <f t="shared" si="1"/>
        <v>669.2</v>
      </c>
      <c r="H8" s="37">
        <f t="shared" si="1"/>
        <v>2973.5</v>
      </c>
      <c r="I8" s="37">
        <f>SUM(I9:I16)</f>
        <v>198.10000000000002</v>
      </c>
      <c r="J8" s="37">
        <f t="shared" si="1"/>
        <v>220.9</v>
      </c>
      <c r="K8" s="37">
        <f>SUM(K9:K16)</f>
        <v>543.7</v>
      </c>
      <c r="L8" s="37">
        <f t="shared" si="1"/>
        <v>678.3000000000001</v>
      </c>
      <c r="M8" s="37">
        <f t="shared" si="1"/>
        <v>857.7999999999998</v>
      </c>
      <c r="N8" s="37">
        <f t="shared" si="1"/>
        <v>510.3</v>
      </c>
      <c r="O8" s="37">
        <f t="shared" si="1"/>
        <v>531.2</v>
      </c>
      <c r="P8" s="37">
        <f t="shared" si="1"/>
        <v>823.2000000000002</v>
      </c>
      <c r="Q8" s="37">
        <f t="shared" si="1"/>
        <v>997.7</v>
      </c>
      <c r="R8" s="37">
        <f t="shared" si="1"/>
        <v>798.2</v>
      </c>
      <c r="S8" s="37">
        <f>SUM(S9:S16)</f>
        <v>499.8</v>
      </c>
      <c r="T8" s="37">
        <f>SUM(T9:T16)</f>
        <v>932.7</v>
      </c>
      <c r="U8" s="37">
        <f t="shared" si="1"/>
        <v>1999.8000000000002</v>
      </c>
      <c r="V8" s="37">
        <f t="shared" si="1"/>
        <v>1358.8</v>
      </c>
      <c r="W8" s="37">
        <f t="shared" si="1"/>
        <v>623.8000000000001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10202.6</v>
      </c>
      <c r="D9" s="40">
        <v>98</v>
      </c>
      <c r="E9" s="8">
        <v>137.7</v>
      </c>
      <c r="F9" s="8">
        <v>260.4</v>
      </c>
      <c r="G9" s="8">
        <v>549.4</v>
      </c>
      <c r="H9" s="8">
        <v>2903.3</v>
      </c>
      <c r="I9" s="8">
        <v>63.8</v>
      </c>
      <c r="J9" s="8">
        <v>150.3</v>
      </c>
      <c r="K9" s="8">
        <v>453.8</v>
      </c>
      <c r="L9" s="8">
        <v>375.3</v>
      </c>
      <c r="M9" s="8">
        <v>540.3</v>
      </c>
      <c r="N9" s="8">
        <v>141.8</v>
      </c>
      <c r="O9" s="8">
        <v>312.5</v>
      </c>
      <c r="P9" s="8">
        <v>684.5</v>
      </c>
      <c r="Q9" s="8">
        <v>882.5</v>
      </c>
      <c r="R9" s="43">
        <v>582.9</v>
      </c>
      <c r="S9" s="43">
        <v>243.9</v>
      </c>
      <c r="T9" s="8">
        <v>364.9</v>
      </c>
      <c r="U9" s="43">
        <v>301.3</v>
      </c>
      <c r="V9" s="8">
        <v>778.9</v>
      </c>
      <c r="W9" s="8">
        <v>377.1</v>
      </c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323.49999999999994</v>
      </c>
      <c r="D11" s="40">
        <v>31.6</v>
      </c>
      <c r="E11" s="8">
        <v>2</v>
      </c>
      <c r="F11" s="8">
        <v>0.4</v>
      </c>
      <c r="G11" s="8">
        <v>0.3</v>
      </c>
      <c r="H11" s="8">
        <v>0.6</v>
      </c>
      <c r="I11" s="8">
        <v>28.5</v>
      </c>
      <c r="J11" s="8">
        <v>1.7</v>
      </c>
      <c r="K11" s="8">
        <v>2.7</v>
      </c>
      <c r="L11" s="8">
        <v>-0.9</v>
      </c>
      <c r="M11" s="8">
        <v>1.3</v>
      </c>
      <c r="N11" s="8">
        <v>4.8</v>
      </c>
      <c r="O11" s="8">
        <v>3.1</v>
      </c>
      <c r="P11" s="8">
        <v>3.3</v>
      </c>
      <c r="Q11" s="8">
        <v>0.8</v>
      </c>
      <c r="R11" s="43">
        <v>2.7</v>
      </c>
      <c r="S11" s="43">
        <v>78.6</v>
      </c>
      <c r="T11" s="8">
        <v>49.8</v>
      </c>
      <c r="U11" s="43">
        <v>74.2</v>
      </c>
      <c r="V11" s="8">
        <v>2.9</v>
      </c>
      <c r="W11" s="8">
        <v>35.1</v>
      </c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1012.5</v>
      </c>
      <c r="D12" s="40">
        <v>1.3</v>
      </c>
      <c r="E12" s="8">
        <v>6.2</v>
      </c>
      <c r="F12" s="8">
        <v>0.9</v>
      </c>
      <c r="G12" s="8"/>
      <c r="H12" s="8">
        <v>0.5</v>
      </c>
      <c r="I12" s="8">
        <v>1.3</v>
      </c>
      <c r="J12" s="8"/>
      <c r="K12" s="8"/>
      <c r="L12" s="8">
        <v>6.9</v>
      </c>
      <c r="M12" s="8">
        <v>0.1</v>
      </c>
      <c r="N12" s="8">
        <v>14.1</v>
      </c>
      <c r="O12" s="8"/>
      <c r="P12" s="8">
        <v>0.2</v>
      </c>
      <c r="Q12" s="8">
        <v>58.6</v>
      </c>
      <c r="R12" s="43"/>
      <c r="S12" s="43">
        <v>20</v>
      </c>
      <c r="T12" s="8">
        <v>14.1</v>
      </c>
      <c r="U12" s="43">
        <v>740.3</v>
      </c>
      <c r="V12" s="8">
        <v>124.4</v>
      </c>
      <c r="W12" s="8">
        <v>23.6</v>
      </c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2525.6</v>
      </c>
      <c r="D13" s="40">
        <v>24.6</v>
      </c>
      <c r="E13" s="8">
        <v>35</v>
      </c>
      <c r="F13" s="8">
        <v>11.3</v>
      </c>
      <c r="G13" s="8">
        <v>10.2</v>
      </c>
      <c r="H13" s="8">
        <v>26.1</v>
      </c>
      <c r="I13" s="8">
        <v>12.3</v>
      </c>
      <c r="J13" s="8">
        <v>12.6</v>
      </c>
      <c r="K13" s="8">
        <v>20.8</v>
      </c>
      <c r="L13" s="8">
        <v>46.3</v>
      </c>
      <c r="M13" s="8">
        <v>169.4</v>
      </c>
      <c r="N13" s="8">
        <v>35.4</v>
      </c>
      <c r="O13" s="8">
        <v>59</v>
      </c>
      <c r="P13" s="8">
        <v>60.2</v>
      </c>
      <c r="Q13" s="8">
        <v>16.5</v>
      </c>
      <c r="R13" s="43">
        <v>133</v>
      </c>
      <c r="S13" s="43">
        <v>112</v>
      </c>
      <c r="T13" s="8">
        <v>444.9</v>
      </c>
      <c r="U13" s="43">
        <v>795.1</v>
      </c>
      <c r="V13" s="8">
        <v>366.8</v>
      </c>
      <c r="W13" s="8">
        <v>134.1</v>
      </c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1345</v>
      </c>
      <c r="D14" s="40">
        <v>7.6</v>
      </c>
      <c r="E14" s="8">
        <v>72.6</v>
      </c>
      <c r="F14" s="8">
        <v>27.5</v>
      </c>
      <c r="G14" s="8">
        <v>89.1</v>
      </c>
      <c r="H14" s="8">
        <v>21.5</v>
      </c>
      <c r="I14" s="8">
        <v>60.1</v>
      </c>
      <c r="J14" s="8">
        <v>39.6</v>
      </c>
      <c r="K14" s="8">
        <v>36.5</v>
      </c>
      <c r="L14" s="8">
        <v>143.9</v>
      </c>
      <c r="M14" s="8">
        <v>121.1</v>
      </c>
      <c r="N14" s="8">
        <v>286.9</v>
      </c>
      <c r="O14" s="8">
        <v>133.7</v>
      </c>
      <c r="P14" s="8">
        <v>43.7</v>
      </c>
      <c r="Q14" s="8">
        <v>17</v>
      </c>
      <c r="R14" s="43">
        <v>67.6</v>
      </c>
      <c r="S14" s="43">
        <v>25.5</v>
      </c>
      <c r="T14" s="8">
        <v>13.3</v>
      </c>
      <c r="U14" s="43">
        <v>60.5</v>
      </c>
      <c r="V14" s="8">
        <v>46.4</v>
      </c>
      <c r="W14" s="8">
        <v>30.9</v>
      </c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235.59999999999994</v>
      </c>
      <c r="D15" s="40">
        <v>14.8</v>
      </c>
      <c r="E15" s="8">
        <v>6.9</v>
      </c>
      <c r="F15" s="8">
        <v>18.3</v>
      </c>
      <c r="G15" s="8">
        <v>16</v>
      </c>
      <c r="H15" s="8">
        <v>7</v>
      </c>
      <c r="I15" s="8">
        <v>21.3</v>
      </c>
      <c r="J15" s="8">
        <v>10.3</v>
      </c>
      <c r="K15" s="8">
        <v>13.2</v>
      </c>
      <c r="L15" s="8">
        <v>6.6</v>
      </c>
      <c r="M15" s="8">
        <v>16.8</v>
      </c>
      <c r="N15" s="8">
        <v>6.1</v>
      </c>
      <c r="O15" s="8">
        <v>9.4</v>
      </c>
      <c r="P15" s="8">
        <v>16.1</v>
      </c>
      <c r="Q15" s="8">
        <v>9.7</v>
      </c>
      <c r="R15" s="43">
        <v>9.1</v>
      </c>
      <c r="S15" s="43">
        <v>15.1</v>
      </c>
      <c r="T15" s="8">
        <v>5.2</v>
      </c>
      <c r="U15" s="43">
        <v>14.7</v>
      </c>
      <c r="V15" s="8">
        <v>10.8</v>
      </c>
      <c r="W15" s="8">
        <v>8.2</v>
      </c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363.5</v>
      </c>
      <c r="D16" s="40">
        <v>20.6</v>
      </c>
      <c r="E16" s="8">
        <v>10.5</v>
      </c>
      <c r="F16" s="8">
        <v>3.1</v>
      </c>
      <c r="G16" s="8">
        <v>4.2</v>
      </c>
      <c r="H16" s="8">
        <v>14.5</v>
      </c>
      <c r="I16" s="8">
        <v>10.8</v>
      </c>
      <c r="J16" s="8">
        <v>6.4</v>
      </c>
      <c r="K16" s="8">
        <v>16.7</v>
      </c>
      <c r="L16" s="8">
        <v>100.2</v>
      </c>
      <c r="M16" s="8">
        <v>8.8</v>
      </c>
      <c r="N16" s="8">
        <v>21.2</v>
      </c>
      <c r="O16" s="8">
        <v>13.5</v>
      </c>
      <c r="P16" s="8">
        <v>15.2</v>
      </c>
      <c r="Q16" s="8">
        <v>12.6</v>
      </c>
      <c r="R16" s="43">
        <v>2.9</v>
      </c>
      <c r="S16" s="43">
        <v>4.7</v>
      </c>
      <c r="T16" s="8">
        <v>40.5</v>
      </c>
      <c r="U16" s="43">
        <v>13.7</v>
      </c>
      <c r="V16" s="8">
        <v>28.6</v>
      </c>
      <c r="W16" s="8">
        <v>14.8</v>
      </c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19608.600000000002</v>
      </c>
      <c r="D17" s="22">
        <f>SUM(D6:D8)</f>
        <v>1998.6</v>
      </c>
      <c r="E17" s="22">
        <f aca="true" t="shared" si="2" ref="E17:Y17">SUM(E6:E8)</f>
        <v>270.9</v>
      </c>
      <c r="F17" s="22">
        <f t="shared" si="2"/>
        <v>321.9</v>
      </c>
      <c r="G17" s="22">
        <f t="shared" si="2"/>
        <v>669.2</v>
      </c>
      <c r="H17" s="22">
        <f t="shared" si="2"/>
        <v>2973.5</v>
      </c>
      <c r="I17" s="22">
        <f t="shared" si="2"/>
        <v>1998.3000000000002</v>
      </c>
      <c r="J17" s="22">
        <f t="shared" si="2"/>
        <v>220.9</v>
      </c>
      <c r="K17" s="22">
        <f t="shared" si="2"/>
        <v>543.7</v>
      </c>
      <c r="L17" s="22">
        <f t="shared" si="2"/>
        <v>678.3000000000001</v>
      </c>
      <c r="M17" s="22">
        <f>SUM(M6:M8)</f>
        <v>857.7999999999998</v>
      </c>
      <c r="N17" s="22">
        <f t="shared" si="2"/>
        <v>510.3</v>
      </c>
      <c r="O17" s="22">
        <f t="shared" si="2"/>
        <v>531.2</v>
      </c>
      <c r="P17" s="22">
        <f t="shared" si="2"/>
        <v>823.2000000000002</v>
      </c>
      <c r="Q17" s="22">
        <f t="shared" si="2"/>
        <v>997.7</v>
      </c>
      <c r="R17" s="22">
        <f t="shared" si="2"/>
        <v>798.2</v>
      </c>
      <c r="S17" s="22">
        <f t="shared" si="2"/>
        <v>499.8</v>
      </c>
      <c r="T17" s="22">
        <f>SUM(T6:T8)</f>
        <v>932.7</v>
      </c>
      <c r="U17" s="22">
        <f t="shared" si="2"/>
        <v>1999.8000000000002</v>
      </c>
      <c r="V17" s="22">
        <f t="shared" si="2"/>
        <v>1358.8</v>
      </c>
      <c r="W17" s="22">
        <f t="shared" si="2"/>
        <v>623.8000000000001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C19+C23+C29+C32+C33+C34+C35+C41+C45+C49+C52+C57+C63+C70+C74+C75+C76+C77+C31+C66+C73</f>
        <v>33491.763999999996</v>
      </c>
      <c r="D18" s="24">
        <f aca="true" t="shared" si="3" ref="D18:AA18">D19+D23+D29+D32+D33+D34+D35+D41+D45+D49+D52+D57+D63+D70+D74+D75+D76+D77+D31+D66+D73</f>
        <v>212.737</v>
      </c>
      <c r="E18" s="24">
        <f t="shared" si="3"/>
        <v>1387.373</v>
      </c>
      <c r="F18" s="24">
        <f t="shared" si="3"/>
        <v>1212.47</v>
      </c>
      <c r="G18" s="24">
        <f t="shared" si="3"/>
        <v>643.5459999999998</v>
      </c>
      <c r="H18" s="24">
        <f t="shared" si="3"/>
        <v>973.2180000000001</v>
      </c>
      <c r="I18" s="24">
        <f t="shared" si="3"/>
        <v>119.566</v>
      </c>
      <c r="J18" s="24">
        <f t="shared" si="3"/>
        <v>6940.185999999999</v>
      </c>
      <c r="K18" s="24">
        <f t="shared" si="3"/>
        <v>1203.1060000000002</v>
      </c>
      <c r="L18" s="24">
        <f t="shared" si="3"/>
        <v>202.494</v>
      </c>
      <c r="M18" s="24">
        <f t="shared" si="3"/>
        <v>364.62500000000006</v>
      </c>
      <c r="N18" s="24">
        <f t="shared" si="3"/>
        <v>170.436</v>
      </c>
      <c r="O18" s="24">
        <f t="shared" si="3"/>
        <v>1756.493</v>
      </c>
      <c r="P18" s="24">
        <f t="shared" si="3"/>
        <v>54.658</v>
      </c>
      <c r="Q18" s="24">
        <f t="shared" si="3"/>
        <v>2213.4449999999997</v>
      </c>
      <c r="R18" s="24">
        <f t="shared" si="3"/>
        <v>1671.7180000000003</v>
      </c>
      <c r="S18" s="24">
        <f t="shared" si="3"/>
        <v>3764.59</v>
      </c>
      <c r="T18" s="24">
        <f t="shared" si="3"/>
        <v>2130.1800000000003</v>
      </c>
      <c r="U18" s="24">
        <f t="shared" si="3"/>
        <v>329.149</v>
      </c>
      <c r="V18" s="24">
        <f t="shared" si="3"/>
        <v>113.692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25463.682</v>
      </c>
      <c r="AB18" s="53">
        <f aca="true" t="shared" si="4" ref="AB18:AB81">AA18-C18</f>
        <v>-8028.081999999995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6050.891</v>
      </c>
      <c r="D19" s="18">
        <f t="shared" si="5"/>
        <v>0.18</v>
      </c>
      <c r="E19" s="18">
        <f t="shared" si="5"/>
        <v>19.391</v>
      </c>
      <c r="F19" s="18">
        <f t="shared" si="5"/>
        <v>91.284</v>
      </c>
      <c r="G19" s="18">
        <f t="shared" si="5"/>
        <v>57.277</v>
      </c>
      <c r="H19" s="18">
        <f t="shared" si="5"/>
        <v>69.03</v>
      </c>
      <c r="I19" s="18">
        <f t="shared" si="5"/>
        <v>73.483</v>
      </c>
      <c r="J19" s="18">
        <f t="shared" si="5"/>
        <v>2284.934</v>
      </c>
      <c r="K19" s="18">
        <f t="shared" si="5"/>
        <v>124</v>
      </c>
      <c r="L19" s="18">
        <f t="shared" si="5"/>
        <v>27.568</v>
      </c>
      <c r="M19" s="18">
        <f t="shared" si="5"/>
        <v>1.157</v>
      </c>
      <c r="N19" s="18">
        <f t="shared" si="5"/>
        <v>13.119</v>
      </c>
      <c r="O19" s="18">
        <f t="shared" si="5"/>
        <v>16.016</v>
      </c>
      <c r="P19" s="18">
        <f t="shared" si="5"/>
        <v>6.953</v>
      </c>
      <c r="Q19" s="18">
        <f t="shared" si="5"/>
        <v>50.066</v>
      </c>
      <c r="R19" s="18">
        <f t="shared" si="5"/>
        <v>22.038</v>
      </c>
      <c r="S19" s="18">
        <f t="shared" si="5"/>
        <v>1503.168</v>
      </c>
      <c r="T19" s="18">
        <f>SUM(T20:T22)</f>
        <v>652.03</v>
      </c>
      <c r="U19" s="18">
        <f t="shared" si="5"/>
        <v>-39.859</v>
      </c>
      <c r="V19" s="18">
        <f t="shared" si="5"/>
        <v>-0.138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4971.697</v>
      </c>
      <c r="AB19" s="53">
        <f t="shared" si="4"/>
        <v>-1079.1939999999995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f>5075.692+2.3+5.8</f>
        <v>5083.792</v>
      </c>
      <c r="D20" s="7"/>
      <c r="E20" s="7">
        <v>12.169</v>
      </c>
      <c r="F20" s="7"/>
      <c r="G20" s="7">
        <v>20.411</v>
      </c>
      <c r="H20" s="7"/>
      <c r="I20" s="7">
        <v>73.483</v>
      </c>
      <c r="J20" s="8">
        <v>2234.755</v>
      </c>
      <c r="K20" s="7">
        <v>122.051</v>
      </c>
      <c r="L20" s="7">
        <v>0.861</v>
      </c>
      <c r="M20" s="7"/>
      <c r="N20" s="7"/>
      <c r="O20" s="7"/>
      <c r="P20" s="7"/>
      <c r="Q20" s="7">
        <v>49.217</v>
      </c>
      <c r="R20" s="7">
        <v>17.023</v>
      </c>
      <c r="S20" s="7">
        <v>1374.084</v>
      </c>
      <c r="T20" s="7">
        <v>647.771</v>
      </c>
      <c r="U20" s="7"/>
      <c r="V20" s="8"/>
      <c r="W20" s="8"/>
      <c r="X20" s="8"/>
      <c r="Y20" s="7"/>
      <c r="Z20" s="7"/>
      <c r="AA20" s="7">
        <f>SUM(D20:Z20)</f>
        <v>4551.825</v>
      </c>
      <c r="AB20" s="53">
        <f t="shared" si="4"/>
        <v>-531.9670000000006</v>
      </c>
      <c r="AD20" s="56" t="s">
        <v>48</v>
      </c>
      <c r="AE20" s="79">
        <f>AA19</f>
        <v>4971.697</v>
      </c>
    </row>
    <row r="21" spans="2:31" ht="15.75">
      <c r="B21" s="3" t="s">
        <v>1</v>
      </c>
      <c r="C21" s="23">
        <v>497.199</v>
      </c>
      <c r="D21" s="7"/>
      <c r="E21" s="7">
        <v>0.045</v>
      </c>
      <c r="F21" s="7">
        <v>35.834</v>
      </c>
      <c r="G21" s="7">
        <v>30.386</v>
      </c>
      <c r="H21" s="7">
        <v>63.042</v>
      </c>
      <c r="I21" s="7"/>
      <c r="J21" s="8"/>
      <c r="K21" s="7"/>
      <c r="L21" s="7"/>
      <c r="M21" s="7"/>
      <c r="N21" s="7">
        <v>0.302</v>
      </c>
      <c r="O21" s="7">
        <v>16.016</v>
      </c>
      <c r="P21" s="7">
        <v>0.017</v>
      </c>
      <c r="Q21" s="7">
        <v>0.045</v>
      </c>
      <c r="R21" s="7">
        <v>2.645</v>
      </c>
      <c r="S21" s="7">
        <v>0.725</v>
      </c>
      <c r="T21" s="7">
        <v>1.178</v>
      </c>
      <c r="U21" s="7">
        <v>-38.543</v>
      </c>
      <c r="V21" s="8">
        <v>-0.138</v>
      </c>
      <c r="W21" s="8"/>
      <c r="X21" s="8"/>
      <c r="Y21" s="7"/>
      <c r="Z21" s="7"/>
      <c r="AA21" s="7">
        <f>SUM(D21:Z21)</f>
        <v>111.55399999999997</v>
      </c>
      <c r="AB21" s="53">
        <f t="shared" si="4"/>
        <v>-385.64500000000004</v>
      </c>
      <c r="AD21" s="56" t="s">
        <v>15</v>
      </c>
      <c r="AE21" s="79">
        <f>AA23</f>
        <v>11005.14</v>
      </c>
    </row>
    <row r="22" spans="2:31" ht="15.75">
      <c r="B22" s="3" t="s">
        <v>5</v>
      </c>
      <c r="C22" s="23">
        <f>472.2-2.3</f>
        <v>469.9</v>
      </c>
      <c r="D22" s="7">
        <v>0.18</v>
      </c>
      <c r="E22" s="7">
        <v>7.177</v>
      </c>
      <c r="F22" s="7">
        <v>55.45</v>
      </c>
      <c r="G22" s="7">
        <v>6.48</v>
      </c>
      <c r="H22" s="7">
        <v>5.988</v>
      </c>
      <c r="I22" s="7"/>
      <c r="J22" s="7">
        <v>50.179</v>
      </c>
      <c r="K22" s="7">
        <v>1.949</v>
      </c>
      <c r="L22" s="7">
        <v>26.707</v>
      </c>
      <c r="M22" s="7">
        <v>1.157</v>
      </c>
      <c r="N22" s="7">
        <v>12.817</v>
      </c>
      <c r="O22" s="7"/>
      <c r="P22" s="7">
        <v>6.936</v>
      </c>
      <c r="Q22" s="7">
        <v>0.804</v>
      </c>
      <c r="R22" s="7">
        <v>2.37</v>
      </c>
      <c r="S22" s="7">
        <v>128.359</v>
      </c>
      <c r="T22" s="7">
        <v>3.081</v>
      </c>
      <c r="U22" s="7">
        <v>-1.316</v>
      </c>
      <c r="V22" s="7"/>
      <c r="W22" s="7"/>
      <c r="X22" s="7"/>
      <c r="Y22" s="7"/>
      <c r="Z22" s="7"/>
      <c r="AA22" s="7">
        <f>SUM(D22:Z22)</f>
        <v>308.3180000000001</v>
      </c>
      <c r="AB22" s="53">
        <f t="shared" si="4"/>
        <v>-161.58199999999988</v>
      </c>
      <c r="AD22" s="56" t="s">
        <v>52</v>
      </c>
      <c r="AE22" s="79">
        <f>$AA$29+$AA$31</f>
        <v>171.64100000000002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15597.718999999997</v>
      </c>
      <c r="D23" s="18">
        <f t="shared" si="6"/>
        <v>0</v>
      </c>
      <c r="E23" s="18">
        <f t="shared" si="6"/>
        <v>27.737</v>
      </c>
      <c r="F23" s="18">
        <f t="shared" si="6"/>
        <v>138.36599999999999</v>
      </c>
      <c r="G23" s="18">
        <f t="shared" si="6"/>
        <v>433.91299999999995</v>
      </c>
      <c r="H23" s="18">
        <f t="shared" si="6"/>
        <v>708.629</v>
      </c>
      <c r="I23" s="18">
        <f t="shared" si="6"/>
        <v>4.083</v>
      </c>
      <c r="J23" s="18">
        <f t="shared" si="6"/>
        <v>3203.316</v>
      </c>
      <c r="K23" s="18">
        <f t="shared" si="6"/>
        <v>937.9650000000001</v>
      </c>
      <c r="L23" s="18">
        <f t="shared" si="6"/>
        <v>0</v>
      </c>
      <c r="M23" s="18">
        <f t="shared" si="6"/>
        <v>334.57000000000005</v>
      </c>
      <c r="N23" s="18">
        <f t="shared" si="6"/>
        <v>60.550000000000004</v>
      </c>
      <c r="O23" s="18">
        <f t="shared" si="6"/>
        <v>4.769</v>
      </c>
      <c r="P23" s="18">
        <f t="shared" si="6"/>
        <v>0</v>
      </c>
      <c r="Q23" s="18">
        <f t="shared" si="6"/>
        <v>1849.03</v>
      </c>
      <c r="R23" s="18">
        <f t="shared" si="6"/>
        <v>1217.842</v>
      </c>
      <c r="S23" s="18">
        <f t="shared" si="6"/>
        <v>1963.481</v>
      </c>
      <c r="T23" s="18">
        <f>SUM(T24:T28)</f>
        <v>105.785</v>
      </c>
      <c r="U23" s="18">
        <f>SUM(U24:U28)</f>
        <v>18.211</v>
      </c>
      <c r="V23" s="18">
        <f t="shared" si="6"/>
        <v>-3.107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11005.14</v>
      </c>
      <c r="AB23" s="53">
        <f t="shared" si="4"/>
        <v>-4592.578999999998</v>
      </c>
      <c r="AD23" s="56" t="s">
        <v>16</v>
      </c>
      <c r="AE23" s="79">
        <f>$AA$32+$AA$33+$AA$35+$AA$41+$AA$45+$AA$34</f>
        <v>1035.0420000000001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10252.517</v>
      </c>
      <c r="D24" s="7"/>
      <c r="E24" s="7"/>
      <c r="F24" s="7">
        <v>16.259</v>
      </c>
      <c r="G24" s="7">
        <v>84.705</v>
      </c>
      <c r="H24" s="7">
        <f>273.672</f>
        <v>273.672</v>
      </c>
      <c r="I24" s="7">
        <v>4.083</v>
      </c>
      <c r="J24" s="8">
        <f>1262.571+13.45+0.717+819.56</f>
        <v>2096.298</v>
      </c>
      <c r="K24" s="7">
        <f>170.502+702.032</f>
        <v>872.5340000000001</v>
      </c>
      <c r="L24" s="7"/>
      <c r="M24" s="7">
        <v>15.812</v>
      </c>
      <c r="N24" s="7"/>
      <c r="O24" s="7"/>
      <c r="P24" s="7"/>
      <c r="Q24" s="7">
        <f>933.997+19.783+690.944</f>
        <v>1644.724</v>
      </c>
      <c r="R24" s="25">
        <f>586.301+529.725+5.179</f>
        <v>1121.2050000000002</v>
      </c>
      <c r="S24" s="7">
        <f>907.368+881.186+9.96</f>
        <v>1798.5140000000001</v>
      </c>
      <c r="T24" s="7">
        <f>100+2.96</f>
        <v>102.96</v>
      </c>
      <c r="U24" s="7"/>
      <c r="V24" s="8"/>
      <c r="W24" s="8"/>
      <c r="X24" s="8"/>
      <c r="Y24" s="7"/>
      <c r="Z24" s="7"/>
      <c r="AA24" s="7">
        <f>SUM(D24:Z24)</f>
        <v>8030.766</v>
      </c>
      <c r="AB24" s="53">
        <f t="shared" si="4"/>
        <v>-2221.751</v>
      </c>
      <c r="AD24" s="56" t="s">
        <v>17</v>
      </c>
      <c r="AE24" s="79">
        <f>$AA$63+$AA$66</f>
        <v>2200.289</v>
      </c>
    </row>
    <row r="25" spans="2:31" ht="15.75">
      <c r="B25" s="3" t="s">
        <v>2</v>
      </c>
      <c r="C25" s="23">
        <v>11.701</v>
      </c>
      <c r="D25" s="7"/>
      <c r="E25" s="7"/>
      <c r="F25" s="7"/>
      <c r="G25" s="7">
        <v>1.5</v>
      </c>
      <c r="H25" s="7"/>
      <c r="I25" s="7"/>
      <c r="J25" s="8"/>
      <c r="K25" s="7"/>
      <c r="L25" s="7"/>
      <c r="M25" s="7">
        <v>0.999</v>
      </c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2.499</v>
      </c>
      <c r="AB25" s="53">
        <f t="shared" si="4"/>
        <v>-9.202</v>
      </c>
      <c r="AD25" s="56" t="s">
        <v>18</v>
      </c>
      <c r="AE25" s="79">
        <f>$AA$52</f>
        <v>577.138</v>
      </c>
    </row>
    <row r="26" spans="2:31" ht="15.75">
      <c r="B26" s="3" t="s">
        <v>0</v>
      </c>
      <c r="C26" s="23">
        <v>759.828</v>
      </c>
      <c r="D26" s="7"/>
      <c r="E26" s="7">
        <v>27.076</v>
      </c>
      <c r="F26" s="7">
        <v>8.699</v>
      </c>
      <c r="G26" s="7">
        <v>62.198</v>
      </c>
      <c r="H26" s="7">
        <v>6.136</v>
      </c>
      <c r="I26" s="7"/>
      <c r="J26" s="8">
        <v>42.39</v>
      </c>
      <c r="K26" s="7">
        <v>52.909</v>
      </c>
      <c r="L26" s="7"/>
      <c r="M26" s="7">
        <v>147.311</v>
      </c>
      <c r="N26" s="7">
        <v>34.944</v>
      </c>
      <c r="O26" s="7"/>
      <c r="P26" s="7"/>
      <c r="Q26" s="7">
        <v>86.818</v>
      </c>
      <c r="R26" s="25">
        <v>67.215</v>
      </c>
      <c r="S26" s="7">
        <v>34.229</v>
      </c>
      <c r="T26" s="7"/>
      <c r="U26" s="7"/>
      <c r="V26" s="8"/>
      <c r="W26" s="8"/>
      <c r="X26" s="8"/>
      <c r="Y26" s="7"/>
      <c r="Z26" s="7"/>
      <c r="AA26" s="7">
        <f>SUM(D26:Z26)</f>
        <v>569.9250000000001</v>
      </c>
      <c r="AB26" s="53">
        <f t="shared" si="4"/>
        <v>-189.9029999999999</v>
      </c>
      <c r="AD26" s="56" t="s">
        <v>19</v>
      </c>
      <c r="AE26" s="79">
        <f>$AA$57</f>
        <v>405.13900000000007</v>
      </c>
    </row>
    <row r="27" spans="2:31" ht="15.75">
      <c r="B27" s="3" t="s">
        <v>1</v>
      </c>
      <c r="C27" s="23">
        <v>3566.139</v>
      </c>
      <c r="D27" s="7"/>
      <c r="E27" s="7">
        <v>0.188</v>
      </c>
      <c r="F27" s="7">
        <v>71.075</v>
      </c>
      <c r="G27" s="7">
        <v>259.002</v>
      </c>
      <c r="H27" s="7">
        <v>307.981</v>
      </c>
      <c r="I27" s="7"/>
      <c r="J27" s="8">
        <v>1033.384</v>
      </c>
      <c r="K27" s="7">
        <v>9.302</v>
      </c>
      <c r="L27" s="7"/>
      <c r="M27" s="7">
        <v>27.339</v>
      </c>
      <c r="N27" s="7">
        <v>12.477</v>
      </c>
      <c r="O27" s="7">
        <v>4.759</v>
      </c>
      <c r="P27" s="7"/>
      <c r="Q27" s="7">
        <v>108.709</v>
      </c>
      <c r="R27" s="25">
        <v>23.39</v>
      </c>
      <c r="S27" s="7">
        <v>117.686</v>
      </c>
      <c r="T27" s="7">
        <v>-0.023</v>
      </c>
      <c r="U27" s="7">
        <v>13.043</v>
      </c>
      <c r="V27" s="8">
        <v>-3.107</v>
      </c>
      <c r="W27" s="8"/>
      <c r="X27" s="8"/>
      <c r="Y27" s="7"/>
      <c r="Z27" s="7"/>
      <c r="AA27" s="7">
        <f>SUM(D27:Z27)</f>
        <v>1985.2050000000002</v>
      </c>
      <c r="AB27" s="53">
        <f t="shared" si="4"/>
        <v>-1580.934</v>
      </c>
      <c r="AD27" s="56" t="s">
        <v>20</v>
      </c>
      <c r="AE27" s="79">
        <f>$AA$49+$AA$70+$AA$74+$AA$75+$AA$77+$AA$76+$AA$72</f>
        <v>5097.5960000000005</v>
      </c>
    </row>
    <row r="28" spans="2:31" ht="15.75">
      <c r="B28" s="3" t="s">
        <v>5</v>
      </c>
      <c r="C28" s="23">
        <v>1007.534</v>
      </c>
      <c r="D28" s="7"/>
      <c r="E28" s="7">
        <v>0.473</v>
      </c>
      <c r="F28" s="7">
        <v>42.333</v>
      </c>
      <c r="G28" s="7">
        <v>26.508</v>
      </c>
      <c r="H28" s="7">
        <v>120.84</v>
      </c>
      <c r="I28" s="7"/>
      <c r="J28" s="7">
        <v>31.244</v>
      </c>
      <c r="K28" s="7">
        <v>3.22</v>
      </c>
      <c r="L28" s="7"/>
      <c r="M28" s="7">
        <v>143.109</v>
      </c>
      <c r="N28" s="7">
        <v>13.129</v>
      </c>
      <c r="O28" s="7">
        <v>0.01</v>
      </c>
      <c r="P28" s="7"/>
      <c r="Q28" s="7">
        <v>8.779</v>
      </c>
      <c r="R28" s="7">
        <v>6.032</v>
      </c>
      <c r="S28" s="7">
        <v>13.052</v>
      </c>
      <c r="T28" s="7">
        <v>2.848</v>
      </c>
      <c r="U28" s="7">
        <v>5.168</v>
      </c>
      <c r="V28" s="7"/>
      <c r="W28" s="7"/>
      <c r="X28" s="7"/>
      <c r="Y28" s="7"/>
      <c r="Z28" s="7"/>
      <c r="AA28" s="7">
        <f>SUM(D28:Z28)</f>
        <v>416.745</v>
      </c>
      <c r="AB28" s="53">
        <f t="shared" si="4"/>
        <v>-590.789</v>
      </c>
      <c r="AE28" s="80"/>
    </row>
    <row r="29" spans="2:31" ht="29.25">
      <c r="B29" s="13" t="s">
        <v>57</v>
      </c>
      <c r="C29" s="18">
        <f>C30</f>
        <v>1233.751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12.061</v>
      </c>
      <c r="H29" s="18">
        <f t="shared" si="7"/>
        <v>29.653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17.932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87.094</v>
      </c>
      <c r="R29" s="18">
        <f t="shared" si="7"/>
        <v>0</v>
      </c>
      <c r="S29" s="18">
        <f t="shared" si="7"/>
        <v>0</v>
      </c>
      <c r="T29" s="18">
        <f t="shared" si="7"/>
        <v>24.901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171.64100000000002</v>
      </c>
      <c r="AB29" s="53">
        <f t="shared" si="4"/>
        <v>-1062.11</v>
      </c>
      <c r="AE29" s="80"/>
    </row>
    <row r="30" spans="2:31" ht="15.75">
      <c r="B30" s="55" t="s">
        <v>10</v>
      </c>
      <c r="C30" s="27">
        <v>1233.751</v>
      </c>
      <c r="D30" s="8"/>
      <c r="E30" s="8"/>
      <c r="F30" s="8"/>
      <c r="G30" s="8">
        <v>12.061</v>
      </c>
      <c r="H30" s="8">
        <v>29.653</v>
      </c>
      <c r="I30" s="8"/>
      <c r="J30" s="8"/>
      <c r="K30" s="8"/>
      <c r="L30" s="8"/>
      <c r="M30" s="8">
        <v>17.932</v>
      </c>
      <c r="N30" s="8"/>
      <c r="O30" s="8"/>
      <c r="P30" s="8"/>
      <c r="Q30" s="8">
        <v>87.094</v>
      </c>
      <c r="R30" s="8"/>
      <c r="S30" s="8"/>
      <c r="T30" s="8">
        <v>24.901</v>
      </c>
      <c r="U30" s="8"/>
      <c r="V30" s="8"/>
      <c r="W30" s="8"/>
      <c r="X30" s="8"/>
      <c r="Y30" s="27"/>
      <c r="Z30" s="27"/>
      <c r="AA30" s="7">
        <f>SUM(D30:Z30)</f>
        <v>171.64100000000002</v>
      </c>
      <c r="AB30" s="53">
        <f t="shared" si="4"/>
        <v>-1062.11</v>
      </c>
      <c r="AE30" s="80"/>
    </row>
    <row r="31" spans="2:31" ht="43.5">
      <c r="B31" s="13" t="s">
        <v>61</v>
      </c>
      <c r="C31" s="18">
        <v>49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-49</v>
      </c>
      <c r="AE31" s="80"/>
    </row>
    <row r="32" spans="1:40" s="10" customFormat="1" ht="29.25">
      <c r="A32" s="10" t="s">
        <v>32</v>
      </c>
      <c r="B32" s="13" t="s">
        <v>62</v>
      </c>
      <c r="C32" s="18">
        <v>406.093</v>
      </c>
      <c r="D32" s="18"/>
      <c r="E32" s="18"/>
      <c r="F32" s="18">
        <v>7.853</v>
      </c>
      <c r="G32" s="18"/>
      <c r="H32" s="18"/>
      <c r="I32" s="18"/>
      <c r="J32" s="18"/>
      <c r="K32" s="18"/>
      <c r="L32" s="18">
        <v>2.265</v>
      </c>
      <c r="M32" s="18"/>
      <c r="N32" s="18"/>
      <c r="O32" s="18"/>
      <c r="P32" s="18">
        <v>8.777</v>
      </c>
      <c r="Q32" s="18"/>
      <c r="R32" s="18">
        <v>102.9</v>
      </c>
      <c r="S32" s="18">
        <v>12.94</v>
      </c>
      <c r="T32" s="18"/>
      <c r="U32" s="60"/>
      <c r="V32" s="60">
        <v>-0.276</v>
      </c>
      <c r="W32" s="60"/>
      <c r="X32" s="18"/>
      <c r="Y32" s="18"/>
      <c r="Z32" s="18"/>
      <c r="AA32" s="18">
        <f>SUM(D32:Z32)</f>
        <v>134.459</v>
      </c>
      <c r="AB32" s="53">
        <f t="shared" si="4"/>
        <v>-271.634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319.488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>
        <v>114.985</v>
      </c>
      <c r="U33" s="18"/>
      <c r="V33" s="18"/>
      <c r="W33" s="18"/>
      <c r="X33" s="18"/>
      <c r="Y33" s="18"/>
      <c r="Z33" s="18"/>
      <c r="AA33" s="18">
        <f>SUM(D33:Z33)</f>
        <v>114.985</v>
      </c>
      <c r="AB33" s="53">
        <f t="shared" si="4"/>
        <v>-204.503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50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-50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632.7529999999999</v>
      </c>
      <c r="D35" s="18">
        <f>SUM(D36:D40)</f>
        <v>0</v>
      </c>
      <c r="E35" s="18">
        <f>SUM(E36:E40)</f>
        <v>0</v>
      </c>
      <c r="F35" s="18">
        <f>SUM(F36:F40)</f>
        <v>34.318999999999996</v>
      </c>
      <c r="G35" s="18">
        <f aca="true" t="shared" si="8" ref="G35:S35">SUM(G36:G40)</f>
        <v>24.846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164.836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6.82</v>
      </c>
      <c r="R35" s="18">
        <f t="shared" si="8"/>
        <v>0</v>
      </c>
      <c r="S35" s="18">
        <f t="shared" si="8"/>
        <v>0</v>
      </c>
      <c r="T35" s="18">
        <f>SUM(T36:T40)</f>
        <v>342.63500000000005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573.456</v>
      </c>
      <c r="AB35" s="53">
        <f t="shared" si="4"/>
        <v>-59.29699999999991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540.851</v>
      </c>
      <c r="D36" s="7"/>
      <c r="E36" s="7"/>
      <c r="F36" s="7">
        <v>12.56</v>
      </c>
      <c r="G36" s="7">
        <v>4.448</v>
      </c>
      <c r="H36" s="7"/>
      <c r="I36" s="7"/>
      <c r="J36" s="8"/>
      <c r="K36" s="7"/>
      <c r="L36" s="7">
        <v>164.226</v>
      </c>
      <c r="M36" s="7"/>
      <c r="N36" s="7"/>
      <c r="O36" s="7"/>
      <c r="P36" s="25"/>
      <c r="Q36" s="7"/>
      <c r="R36" s="25"/>
      <c r="S36" s="7"/>
      <c r="T36" s="7">
        <v>337.867</v>
      </c>
      <c r="U36" s="7"/>
      <c r="V36" s="8"/>
      <c r="W36" s="8"/>
      <c r="X36" s="7"/>
      <c r="Y36" s="7"/>
      <c r="Z36" s="7"/>
      <c r="AA36" s="7">
        <f>SUM(D36:Z36)</f>
        <v>519.101</v>
      </c>
      <c r="AB36" s="53">
        <f t="shared" si="4"/>
        <v>-21.75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1.804</v>
      </c>
      <c r="D37" s="7"/>
      <c r="E37" s="7"/>
      <c r="F37" s="7">
        <v>1.793</v>
      </c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1.793</v>
      </c>
      <c r="AB37" s="53">
        <f t="shared" si="4"/>
        <v>-0.01100000000000012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>
        <v>3.3</v>
      </c>
      <c r="U38" s="7"/>
      <c r="V38" s="8"/>
      <c r="W38" s="8"/>
      <c r="X38" s="7"/>
      <c r="Y38" s="7"/>
      <c r="Z38" s="7"/>
      <c r="AA38" s="7">
        <f>SUM(D38:Z38)</f>
        <v>3.3</v>
      </c>
      <c r="AB38" s="53">
        <f t="shared" si="4"/>
        <v>0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73.181</v>
      </c>
      <c r="D39" s="7"/>
      <c r="E39" s="7"/>
      <c r="F39" s="7">
        <v>17.773</v>
      </c>
      <c r="G39" s="7">
        <v>16.043</v>
      </c>
      <c r="H39" s="7"/>
      <c r="I39" s="7"/>
      <c r="J39" s="7"/>
      <c r="K39" s="7"/>
      <c r="L39" s="7"/>
      <c r="M39" s="7"/>
      <c r="N39" s="7"/>
      <c r="O39" s="7"/>
      <c r="P39" s="25"/>
      <c r="Q39" s="7">
        <v>4.418</v>
      </c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38.234</v>
      </c>
      <c r="AB39" s="53">
        <f t="shared" si="4"/>
        <v>-34.946999999999996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13.617</v>
      </c>
      <c r="D40" s="7"/>
      <c r="E40" s="7"/>
      <c r="F40" s="7">
        <v>2.193</v>
      </c>
      <c r="G40" s="7">
        <v>4.355</v>
      </c>
      <c r="H40" s="7"/>
      <c r="I40" s="7"/>
      <c r="J40" s="7"/>
      <c r="K40" s="7"/>
      <c r="L40" s="7">
        <v>0.61</v>
      </c>
      <c r="M40" s="7"/>
      <c r="N40" s="7"/>
      <c r="O40" s="7"/>
      <c r="P40" s="7"/>
      <c r="Q40" s="7">
        <v>2.402</v>
      </c>
      <c r="R40" s="7"/>
      <c r="S40" s="7"/>
      <c r="T40" s="7">
        <v>1.468</v>
      </c>
      <c r="U40" s="7"/>
      <c r="V40" s="7"/>
      <c r="W40" s="7"/>
      <c r="X40" s="7"/>
      <c r="Y40" s="7"/>
      <c r="Z40" s="7"/>
      <c r="AA40" s="7">
        <f>SUM(D40:Z40)</f>
        <v>11.028</v>
      </c>
      <c r="AB40" s="53">
        <f t="shared" si="4"/>
        <v>-2.5890000000000004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239.59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58.351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4.243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66.831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129.425</v>
      </c>
      <c r="AB41" s="53">
        <f t="shared" si="4"/>
        <v>-110.16499999999999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196.494</v>
      </c>
      <c r="D42" s="7"/>
      <c r="E42" s="7"/>
      <c r="F42" s="7"/>
      <c r="G42" s="7"/>
      <c r="H42" s="7"/>
      <c r="I42" s="7"/>
      <c r="J42" s="8">
        <v>41.1</v>
      </c>
      <c r="K42" s="7"/>
      <c r="L42" s="7"/>
      <c r="M42" s="7"/>
      <c r="N42" s="7"/>
      <c r="O42" s="7"/>
      <c r="P42" s="25"/>
      <c r="Q42" s="7"/>
      <c r="R42" s="25"/>
      <c r="S42" s="7">
        <v>66.531</v>
      </c>
      <c r="T42" s="7"/>
      <c r="U42" s="7"/>
      <c r="V42" s="8"/>
      <c r="W42" s="8"/>
      <c r="X42" s="7"/>
      <c r="Y42" s="7"/>
      <c r="Z42" s="7"/>
      <c r="AA42" s="7">
        <f>SUM(D42:Z42)</f>
        <v>107.631</v>
      </c>
      <c r="AB42" s="53">
        <f t="shared" si="4"/>
        <v>-88.863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32.064</v>
      </c>
      <c r="D43" s="7"/>
      <c r="E43" s="7"/>
      <c r="F43" s="7"/>
      <c r="G43" s="7"/>
      <c r="H43" s="7"/>
      <c r="I43" s="7"/>
      <c r="J43" s="8">
        <v>12.575</v>
      </c>
      <c r="K43" s="7"/>
      <c r="L43" s="7"/>
      <c r="M43" s="7"/>
      <c r="N43" s="7"/>
      <c r="O43" s="7">
        <v>1.455</v>
      </c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14.03</v>
      </c>
      <c r="AB43" s="53">
        <f t="shared" si="4"/>
        <v>-18.034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11.032</v>
      </c>
      <c r="D44" s="7"/>
      <c r="E44" s="7"/>
      <c r="F44" s="7"/>
      <c r="G44" s="7"/>
      <c r="H44" s="7"/>
      <c r="I44" s="7"/>
      <c r="J44" s="7">
        <v>4.676</v>
      </c>
      <c r="K44" s="7"/>
      <c r="L44" s="7"/>
      <c r="M44" s="7"/>
      <c r="N44" s="7"/>
      <c r="O44" s="7">
        <v>2.788</v>
      </c>
      <c r="P44" s="7"/>
      <c r="Q44" s="7"/>
      <c r="R44" s="7"/>
      <c r="S44" s="7">
        <v>0.3</v>
      </c>
      <c r="T44" s="7"/>
      <c r="U44" s="7"/>
      <c r="V44" s="7"/>
      <c r="W44" s="7"/>
      <c r="X44" s="7"/>
      <c r="Y44" s="7"/>
      <c r="Z44" s="7"/>
      <c r="AA44" s="7">
        <f>SUM(D44:Z44)</f>
        <v>7.764</v>
      </c>
      <c r="AB44" s="53">
        <f t="shared" si="4"/>
        <v>-3.268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150.941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52.6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30.117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82.717</v>
      </c>
      <c r="AB45" s="53">
        <f t="shared" si="4"/>
        <v>-68.224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138.375</v>
      </c>
      <c r="D46" s="7"/>
      <c r="E46" s="7"/>
      <c r="F46" s="7"/>
      <c r="G46" s="7">
        <v>48.622</v>
      </c>
      <c r="H46" s="7"/>
      <c r="I46" s="7"/>
      <c r="J46" s="8"/>
      <c r="K46" s="7"/>
      <c r="L46" s="7"/>
      <c r="M46" s="7"/>
      <c r="N46" s="7"/>
      <c r="O46" s="7"/>
      <c r="P46" s="7">
        <v>30.117</v>
      </c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78.739</v>
      </c>
      <c r="AB46" s="53">
        <f t="shared" si="4"/>
        <v>-59.635999999999996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10.206</v>
      </c>
      <c r="D47" s="7"/>
      <c r="E47" s="7"/>
      <c r="F47" s="7"/>
      <c r="G47" s="7">
        <v>3.978</v>
      </c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3.978</v>
      </c>
      <c r="AB47" s="53">
        <f t="shared" si="4"/>
        <v>-6.228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2.36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-2.36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16.1</v>
      </c>
      <c r="D49" s="18">
        <f aca="true" t="shared" si="13" ref="D49:Y49">D50+D51</f>
        <v>0</v>
      </c>
      <c r="E49" s="18">
        <f t="shared" si="13"/>
        <v>0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1.4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3.823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5.223</v>
      </c>
      <c r="AB49" s="53">
        <f t="shared" si="4"/>
        <v>-10.877000000000002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f>0+6</f>
        <v>6</v>
      </c>
      <c r="D50" s="8"/>
      <c r="E50" s="8"/>
      <c r="F50" s="8"/>
      <c r="G50" s="8"/>
      <c r="H50" s="8"/>
      <c r="I50" s="8"/>
      <c r="J50" s="8">
        <v>1.4</v>
      </c>
      <c r="K50" s="8"/>
      <c r="L50" s="8"/>
      <c r="M50" s="8"/>
      <c r="N50" s="8"/>
      <c r="O50" s="8"/>
      <c r="P50" s="8"/>
      <c r="Q50" s="8"/>
      <c r="R50" s="8"/>
      <c r="S50" s="8"/>
      <c r="T50" s="8">
        <v>3.823</v>
      </c>
      <c r="U50" s="8"/>
      <c r="V50" s="8"/>
      <c r="W50" s="8"/>
      <c r="X50" s="8"/>
      <c r="Y50" s="8"/>
      <c r="Z50" s="8"/>
      <c r="AA50" s="7">
        <f>SUM(D50:Z50)</f>
        <v>5.223</v>
      </c>
      <c r="AB50" s="53">
        <f t="shared" si="4"/>
        <v>-0.7770000000000001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f>20.2-10.1</f>
        <v>10.1</v>
      </c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0</v>
      </c>
      <c r="AB51" s="53">
        <f t="shared" si="4"/>
        <v>-10.1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939.825</v>
      </c>
      <c r="D52" s="18">
        <f t="shared" si="14"/>
        <v>0</v>
      </c>
      <c r="E52" s="18">
        <f t="shared" si="14"/>
        <v>53.071</v>
      </c>
      <c r="F52" s="18">
        <f t="shared" si="14"/>
        <v>0</v>
      </c>
      <c r="G52" s="18">
        <f t="shared" si="14"/>
        <v>0</v>
      </c>
      <c r="H52" s="18">
        <f t="shared" si="14"/>
        <v>77.634</v>
      </c>
      <c r="I52" s="18">
        <f t="shared" si="14"/>
        <v>0</v>
      </c>
      <c r="J52" s="18">
        <f t="shared" si="14"/>
        <v>155.375</v>
      </c>
      <c r="K52" s="18">
        <f t="shared" si="14"/>
        <v>0</v>
      </c>
      <c r="L52" s="18">
        <f t="shared" si="14"/>
        <v>4.261</v>
      </c>
      <c r="M52" s="18">
        <f t="shared" si="14"/>
        <v>0</v>
      </c>
      <c r="N52" s="18">
        <f t="shared" si="14"/>
        <v>0</v>
      </c>
      <c r="O52" s="18">
        <f t="shared" si="14"/>
        <v>5.362</v>
      </c>
      <c r="P52" s="18">
        <f t="shared" si="14"/>
        <v>0</v>
      </c>
      <c r="Q52" s="18">
        <f t="shared" si="14"/>
        <v>0</v>
      </c>
      <c r="R52" s="18">
        <f t="shared" si="14"/>
        <v>221.442</v>
      </c>
      <c r="S52" s="18">
        <f t="shared" si="14"/>
        <v>57.993</v>
      </c>
      <c r="T52" s="18">
        <f>SUM(T53:T56)</f>
        <v>0</v>
      </c>
      <c r="U52" s="18">
        <f t="shared" si="14"/>
        <v>2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577.138</v>
      </c>
      <c r="AB52" s="53">
        <f t="shared" si="4"/>
        <v>-362.687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519.421</v>
      </c>
      <c r="D53" s="7"/>
      <c r="E53" s="7"/>
      <c r="F53" s="7"/>
      <c r="G53" s="7"/>
      <c r="H53" s="7"/>
      <c r="I53" s="7"/>
      <c r="J53" s="8">
        <v>155.28</v>
      </c>
      <c r="K53" s="7"/>
      <c r="L53" s="7"/>
      <c r="M53" s="7"/>
      <c r="N53" s="7"/>
      <c r="O53" s="7"/>
      <c r="P53" s="25"/>
      <c r="Q53" s="7"/>
      <c r="R53" s="25">
        <v>221.054</v>
      </c>
      <c r="S53" s="7">
        <v>57.993</v>
      </c>
      <c r="T53" s="7"/>
      <c r="U53" s="7"/>
      <c r="V53" s="8"/>
      <c r="W53" s="8"/>
      <c r="X53" s="8"/>
      <c r="Y53" s="7"/>
      <c r="Z53" s="7"/>
      <c r="AA53" s="7">
        <f>SUM(D53:Z53)</f>
        <v>434.327</v>
      </c>
      <c r="AB53" s="53">
        <f t="shared" si="4"/>
        <v>-85.09400000000005</v>
      </c>
    </row>
    <row r="54" spans="2:28" ht="15.75">
      <c r="B54" s="3" t="s">
        <v>1</v>
      </c>
      <c r="C54" s="23">
        <v>303.264</v>
      </c>
      <c r="D54" s="7"/>
      <c r="E54" s="7">
        <v>48.961</v>
      </c>
      <c r="F54" s="7"/>
      <c r="G54" s="7"/>
      <c r="H54" s="7">
        <v>77.634</v>
      </c>
      <c r="I54" s="7"/>
      <c r="J54" s="8"/>
      <c r="K54" s="7"/>
      <c r="L54" s="7"/>
      <c r="M54" s="7"/>
      <c r="N54" s="7"/>
      <c r="O54" s="7">
        <v>5.252</v>
      </c>
      <c r="P54" s="25"/>
      <c r="Q54" s="7"/>
      <c r="R54" s="25">
        <v>0.388</v>
      </c>
      <c r="S54" s="7"/>
      <c r="T54" s="7"/>
      <c r="U54" s="7"/>
      <c r="V54" s="8"/>
      <c r="W54" s="8"/>
      <c r="X54" s="8"/>
      <c r="Y54" s="7"/>
      <c r="Z54" s="7"/>
      <c r="AA54" s="7">
        <f>SUM(D54:Z54)</f>
        <v>132.235</v>
      </c>
      <c r="AB54" s="53">
        <f t="shared" si="4"/>
        <v>-171.029</v>
      </c>
    </row>
    <row r="55" spans="2:28" ht="15.75">
      <c r="B55" s="3" t="s">
        <v>9</v>
      </c>
      <c r="C55" s="23">
        <v>3.02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-3.02</v>
      </c>
    </row>
    <row r="56" spans="2:29" ht="15.75">
      <c r="B56" s="3" t="s">
        <v>5</v>
      </c>
      <c r="C56" s="23">
        <v>114.12</v>
      </c>
      <c r="D56" s="7"/>
      <c r="E56" s="7">
        <v>4.11</v>
      </c>
      <c r="F56" s="7"/>
      <c r="G56" s="7"/>
      <c r="H56" s="7"/>
      <c r="I56" s="7"/>
      <c r="J56" s="7">
        <v>0.095</v>
      </c>
      <c r="K56" s="7"/>
      <c r="L56" s="7">
        <v>4.261</v>
      </c>
      <c r="M56" s="7"/>
      <c r="N56" s="7"/>
      <c r="O56" s="7">
        <v>0.11</v>
      </c>
      <c r="P56" s="7"/>
      <c r="Q56" s="7"/>
      <c r="R56" s="7"/>
      <c r="S56" s="7"/>
      <c r="T56" s="7"/>
      <c r="U56" s="7">
        <v>2</v>
      </c>
      <c r="V56" s="7"/>
      <c r="W56" s="7"/>
      <c r="X56" s="7"/>
      <c r="Y56" s="7"/>
      <c r="Z56" s="7"/>
      <c r="AA56" s="7">
        <f>SUM(D56:Z56)</f>
        <v>10.576</v>
      </c>
      <c r="AB56" s="53">
        <f t="shared" si="4"/>
        <v>-103.54400000000001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598.521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13.414</v>
      </c>
      <c r="G57" s="18">
        <f t="shared" si="15"/>
        <v>2.92</v>
      </c>
      <c r="H57" s="18">
        <f t="shared" si="15"/>
        <v>60.696</v>
      </c>
      <c r="I57" s="18">
        <f t="shared" si="15"/>
        <v>0</v>
      </c>
      <c r="J57" s="18">
        <f t="shared" si="15"/>
        <v>0</v>
      </c>
      <c r="K57" s="18">
        <f t="shared" si="15"/>
        <v>120.951</v>
      </c>
      <c r="L57" s="18">
        <f t="shared" si="15"/>
        <v>0</v>
      </c>
      <c r="M57" s="18">
        <f t="shared" si="15"/>
        <v>10.966</v>
      </c>
      <c r="N57" s="18">
        <f t="shared" si="15"/>
        <v>0</v>
      </c>
      <c r="O57" s="18">
        <f t="shared" si="15"/>
        <v>0</v>
      </c>
      <c r="P57" s="18">
        <f t="shared" si="15"/>
        <v>8.811</v>
      </c>
      <c r="Q57" s="18">
        <f t="shared" si="15"/>
        <v>20.705</v>
      </c>
      <c r="R57" s="18">
        <f t="shared" si="15"/>
        <v>13.143</v>
      </c>
      <c r="S57" s="18">
        <f t="shared" si="15"/>
        <v>0</v>
      </c>
      <c r="T57" s="18">
        <f>SUM(T58:T62)</f>
        <v>0</v>
      </c>
      <c r="U57" s="18">
        <f>SUM(U58:U62)</f>
        <v>153.53300000000002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405.13900000000007</v>
      </c>
      <c r="AB57" s="53">
        <f t="shared" si="4"/>
        <v>-193.3819999999999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f>378.697-11</f>
        <v>367.697</v>
      </c>
      <c r="D58" s="7"/>
      <c r="E58" s="7"/>
      <c r="F58" s="7"/>
      <c r="G58" s="7"/>
      <c r="H58" s="7"/>
      <c r="I58" s="7"/>
      <c r="J58" s="25"/>
      <c r="K58" s="7">
        <v>110.66</v>
      </c>
      <c r="L58" s="7"/>
      <c r="M58" s="7"/>
      <c r="N58" s="7"/>
      <c r="O58" s="7"/>
      <c r="P58" s="25"/>
      <c r="Q58" s="7"/>
      <c r="R58" s="25"/>
      <c r="S58" s="7"/>
      <c r="T58" s="7"/>
      <c r="U58" s="7">
        <v>149.508</v>
      </c>
      <c r="V58" s="8"/>
      <c r="W58" s="8"/>
      <c r="X58" s="7"/>
      <c r="Y58" s="7"/>
      <c r="Z58" s="7"/>
      <c r="AA58" s="7">
        <f>SUM(D58:Z58)</f>
        <v>260.168</v>
      </c>
      <c r="AB58" s="53">
        <f t="shared" si="4"/>
        <v>-107.529</v>
      </c>
    </row>
    <row r="59" spans="2:28" ht="15.75">
      <c r="B59" s="3" t="s">
        <v>2</v>
      </c>
      <c r="C59" s="23">
        <v>0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0</v>
      </c>
    </row>
    <row r="60" spans="2:28" ht="15.75">
      <c r="B60" s="3" t="s">
        <v>1</v>
      </c>
      <c r="C60" s="23">
        <v>99.107</v>
      </c>
      <c r="D60" s="7"/>
      <c r="E60" s="7"/>
      <c r="F60" s="7"/>
      <c r="G60" s="7"/>
      <c r="H60" s="7">
        <v>42.051</v>
      </c>
      <c r="I60" s="7"/>
      <c r="J60" s="8"/>
      <c r="K60" s="7">
        <v>4.496</v>
      </c>
      <c r="L60" s="7"/>
      <c r="M60" s="7">
        <v>0.596</v>
      </c>
      <c r="N60" s="7"/>
      <c r="O60" s="7"/>
      <c r="P60" s="25">
        <v>8.811</v>
      </c>
      <c r="Q60" s="7"/>
      <c r="R60" s="7">
        <v>-1.164</v>
      </c>
      <c r="S60" s="7"/>
      <c r="T60" s="7"/>
      <c r="U60" s="7"/>
      <c r="V60" s="8"/>
      <c r="W60" s="8"/>
      <c r="X60" s="7"/>
      <c r="Y60" s="7"/>
      <c r="Z60" s="7"/>
      <c r="AA60" s="7">
        <f>SUM(D60:Z60)</f>
        <v>54.79</v>
      </c>
      <c r="AB60" s="53">
        <f t="shared" si="4"/>
        <v>-44.317</v>
      </c>
    </row>
    <row r="61" spans="2:28" ht="15.75">
      <c r="B61" s="3" t="s">
        <v>10</v>
      </c>
      <c r="C61" s="23">
        <v>38.475</v>
      </c>
      <c r="D61" s="7"/>
      <c r="E61" s="7"/>
      <c r="F61" s="7">
        <v>7.907</v>
      </c>
      <c r="G61" s="7"/>
      <c r="H61" s="7"/>
      <c r="I61" s="7"/>
      <c r="J61" s="8"/>
      <c r="K61" s="7"/>
      <c r="L61" s="7"/>
      <c r="M61" s="7"/>
      <c r="N61" s="7"/>
      <c r="O61" s="7"/>
      <c r="P61" s="7"/>
      <c r="Q61" s="7">
        <v>20.705</v>
      </c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28.612</v>
      </c>
      <c r="AB61" s="53">
        <f t="shared" si="4"/>
        <v>-9.863000000000003</v>
      </c>
    </row>
    <row r="62" spans="2:28" ht="15.75">
      <c r="B62" s="3" t="s">
        <v>5</v>
      </c>
      <c r="C62" s="23">
        <f>82.242+11</f>
        <v>93.242</v>
      </c>
      <c r="D62" s="7"/>
      <c r="E62" s="7"/>
      <c r="F62" s="7">
        <v>5.507</v>
      </c>
      <c r="G62" s="7">
        <v>2.92</v>
      </c>
      <c r="H62" s="7">
        <v>18.645</v>
      </c>
      <c r="I62" s="7"/>
      <c r="J62" s="7"/>
      <c r="K62" s="7">
        <v>5.795</v>
      </c>
      <c r="L62" s="7"/>
      <c r="M62" s="7">
        <v>10.37</v>
      </c>
      <c r="N62" s="7"/>
      <c r="O62" s="7"/>
      <c r="P62" s="7"/>
      <c r="Q62" s="7"/>
      <c r="R62" s="7">
        <v>14.307</v>
      </c>
      <c r="S62" s="7"/>
      <c r="T62" s="7"/>
      <c r="U62" s="7">
        <v>4.025</v>
      </c>
      <c r="V62" s="7"/>
      <c r="W62" s="7"/>
      <c r="X62" s="7"/>
      <c r="Y62" s="7"/>
      <c r="Z62" s="7"/>
      <c r="AA62" s="7">
        <f>SUM(D62:Z62)</f>
        <v>61.568999999999996</v>
      </c>
      <c r="AB62" s="53">
        <f t="shared" si="4"/>
        <v>-31.67300000000001</v>
      </c>
    </row>
    <row r="63" spans="2:28" ht="15.75">
      <c r="B63" s="13" t="s">
        <v>44</v>
      </c>
      <c r="C63" s="18">
        <f>C64+C65</f>
        <v>3573.378</v>
      </c>
      <c r="D63" s="18">
        <f aca="true" t="shared" si="16" ref="D63:AA63">D64+D65</f>
        <v>0</v>
      </c>
      <c r="E63" s="18">
        <f t="shared" si="16"/>
        <v>4.416</v>
      </c>
      <c r="F63" s="18">
        <f t="shared" si="16"/>
        <v>610.86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94.682</v>
      </c>
      <c r="O63" s="18">
        <f t="shared" si="16"/>
        <v>768.084</v>
      </c>
      <c r="P63" s="18">
        <f t="shared" si="16"/>
        <v>0</v>
      </c>
      <c r="Q63" s="18">
        <f t="shared" si="16"/>
        <v>17.281</v>
      </c>
      <c r="R63" s="18">
        <f t="shared" si="16"/>
        <v>19.982</v>
      </c>
      <c r="S63" s="18">
        <f t="shared" si="16"/>
        <v>0</v>
      </c>
      <c r="T63" s="18">
        <f>T64+T65</f>
        <v>355.048</v>
      </c>
      <c r="U63" s="18">
        <f t="shared" si="16"/>
        <v>195.264</v>
      </c>
      <c r="V63" s="18">
        <f t="shared" si="16"/>
        <v>121.095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2186.712</v>
      </c>
      <c r="AB63" s="53">
        <f t="shared" si="4"/>
        <v>-1386.6660000000002</v>
      </c>
    </row>
    <row r="64" spans="2:28" ht="15.75">
      <c r="B64" s="32" t="s">
        <v>49</v>
      </c>
      <c r="C64" s="27">
        <f>336.896-231.8</f>
        <v>105.096</v>
      </c>
      <c r="D64" s="8"/>
      <c r="E64" s="8">
        <v>4.416</v>
      </c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4.416</v>
      </c>
      <c r="AB64" s="53">
        <f t="shared" si="4"/>
        <v>-100.68</v>
      </c>
    </row>
    <row r="65" spans="2:28" ht="15.75">
      <c r="B65" s="32" t="s">
        <v>10</v>
      </c>
      <c r="C65" s="27">
        <f>2347.16+1121.122</f>
        <v>3468.282</v>
      </c>
      <c r="D65" s="8"/>
      <c r="E65" s="8"/>
      <c r="F65" s="8">
        <v>610.86</v>
      </c>
      <c r="G65" s="8"/>
      <c r="H65" s="8"/>
      <c r="I65" s="8"/>
      <c r="J65" s="8"/>
      <c r="K65" s="8"/>
      <c r="L65" s="8"/>
      <c r="M65" s="8"/>
      <c r="N65" s="8">
        <v>94.682</v>
      </c>
      <c r="O65" s="8">
        <v>768.084</v>
      </c>
      <c r="P65" s="8"/>
      <c r="Q65" s="8">
        <v>17.281</v>
      </c>
      <c r="R65" s="8">
        <v>19.982</v>
      </c>
      <c r="S65" s="8"/>
      <c r="T65" s="8">
        <v>355.048</v>
      </c>
      <c r="U65" s="8">
        <v>195.264</v>
      </c>
      <c r="V65" s="8">
        <v>121.095</v>
      </c>
      <c r="W65" s="8"/>
      <c r="X65" s="8"/>
      <c r="Y65" s="8"/>
      <c r="Z65" s="8"/>
      <c r="AA65" s="8">
        <f>SUM(D65:Z65)</f>
        <v>2182.296</v>
      </c>
      <c r="AB65" s="53">
        <f t="shared" si="4"/>
        <v>-1285.9860000000003</v>
      </c>
    </row>
    <row r="66" spans="2:28" ht="15.75">
      <c r="B66" s="13" t="s">
        <v>63</v>
      </c>
      <c r="C66" s="18">
        <f>C67+C68</f>
        <v>16.454000000000004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</v>
      </c>
      <c r="G66" s="18">
        <f t="shared" si="17"/>
        <v>0</v>
      </c>
      <c r="H66" s="18">
        <f t="shared" si="17"/>
        <v>13.577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13.577</v>
      </c>
      <c r="AB66" s="53">
        <f t="shared" si="4"/>
        <v>-2.877000000000004</v>
      </c>
    </row>
    <row r="67" spans="2:28" ht="15.75">
      <c r="B67" s="3" t="s">
        <v>1</v>
      </c>
      <c r="C67" s="27">
        <f>48.127-32</f>
        <v>16.127000000000002</v>
      </c>
      <c r="D67" s="8"/>
      <c r="E67" s="8"/>
      <c r="F67" s="8"/>
      <c r="G67" s="8"/>
      <c r="H67" s="8">
        <v>13.577</v>
      </c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13.577</v>
      </c>
      <c r="AB67" s="53">
        <f t="shared" si="4"/>
        <v>-2.5500000000000025</v>
      </c>
    </row>
    <row r="68" spans="2:28" ht="15.75">
      <c r="B68" s="3" t="s">
        <v>10</v>
      </c>
      <c r="C68" s="27">
        <v>0.327</v>
      </c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</v>
      </c>
      <c r="AB68" s="53">
        <f t="shared" si="4"/>
        <v>-0.327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107</v>
      </c>
      <c r="AB69" s="53">
        <f t="shared" si="4"/>
        <v>107</v>
      </c>
    </row>
    <row r="70" spans="1:29" ht="15.75">
      <c r="A70" s="10">
        <v>170703</v>
      </c>
      <c r="B70" s="13" t="s">
        <v>45</v>
      </c>
      <c r="C70" s="18">
        <f>C71</f>
        <v>805.8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48</v>
      </c>
      <c r="P70" s="18">
        <f t="shared" si="18"/>
        <v>0</v>
      </c>
      <c r="Q70" s="18">
        <f t="shared" si="18"/>
        <v>0</v>
      </c>
      <c r="R70" s="18">
        <f t="shared" si="18"/>
        <v>59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107</v>
      </c>
      <c r="AB70" s="53">
        <f t="shared" si="4"/>
        <v>-698.8</v>
      </c>
      <c r="AC70" s="35"/>
    </row>
    <row r="71" spans="2:40" s="35" customFormat="1" ht="15.75">
      <c r="B71" s="32" t="s">
        <v>49</v>
      </c>
      <c r="C71" s="27">
        <f>800+5.8</f>
        <v>805.8</v>
      </c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>
        <v>48</v>
      </c>
      <c r="P71" s="8"/>
      <c r="Q71" s="8"/>
      <c r="R71" s="8">
        <v>59</v>
      </c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7">SUM(D71:Z71)</f>
        <v>107</v>
      </c>
      <c r="AB71" s="53">
        <f t="shared" si="4"/>
        <v>-698.8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 hidden="1">
      <c r="B72" s="15" t="s">
        <v>51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50.25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-50.25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57.75">
      <c r="B76" s="13" t="s">
        <v>58</v>
      </c>
      <c r="C76" s="18">
        <v>2463.9</v>
      </c>
      <c r="D76" s="18"/>
      <c r="E76" s="18">
        <v>1231.95</v>
      </c>
      <c r="F76" s="18"/>
      <c r="G76" s="18"/>
      <c r="H76" s="18"/>
      <c r="I76" s="18"/>
      <c r="J76" s="18">
        <v>1231.95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2463.9</v>
      </c>
      <c r="AB76" s="53">
        <f t="shared" si="4"/>
        <v>0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43.5">
      <c r="B77" s="13" t="s">
        <v>14</v>
      </c>
      <c r="C77" s="18">
        <v>0</v>
      </c>
      <c r="D77" s="18">
        <v>212.557</v>
      </c>
      <c r="E77" s="18">
        <v>50.808</v>
      </c>
      <c r="F77" s="18">
        <v>316.374</v>
      </c>
      <c r="G77" s="18">
        <v>59.929</v>
      </c>
      <c r="H77" s="18">
        <v>13.999</v>
      </c>
      <c r="I77" s="18">
        <v>42</v>
      </c>
      <c r="J77" s="18">
        <v>4.86</v>
      </c>
      <c r="K77" s="18">
        <v>20.19</v>
      </c>
      <c r="L77" s="18">
        <v>3.564</v>
      </c>
      <c r="M77" s="18"/>
      <c r="N77" s="18">
        <v>2.085</v>
      </c>
      <c r="O77" s="18">
        <v>910.019</v>
      </c>
      <c r="P77" s="18"/>
      <c r="Q77" s="18">
        <v>182.449</v>
      </c>
      <c r="R77" s="18">
        <v>15.371</v>
      </c>
      <c r="S77" s="18">
        <v>160.177</v>
      </c>
      <c r="T77" s="18">
        <v>530.973</v>
      </c>
      <c r="U77" s="18"/>
      <c r="V77" s="18">
        <v>-3.882</v>
      </c>
      <c r="W77" s="18"/>
      <c r="X77" s="18"/>
      <c r="Y77" s="18"/>
      <c r="Z77" s="18"/>
      <c r="AA77" s="18">
        <f t="shared" si="19"/>
        <v>2521.4730000000004</v>
      </c>
      <c r="AB77" s="53">
        <f t="shared" si="4"/>
        <v>2521.4730000000004</v>
      </c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2:40" s="10" customFormat="1" ht="15.75">
      <c r="B78" s="17" t="s">
        <v>7</v>
      </c>
      <c r="C78" s="26">
        <f>SUM(C79:C85)</f>
        <v>33491.764</v>
      </c>
      <c r="D78" s="26">
        <f aca="true" t="shared" si="20" ref="D78:AA78">SUM(D79:D85)</f>
        <v>212.737</v>
      </c>
      <c r="E78" s="26">
        <f t="shared" si="20"/>
        <v>1387.373</v>
      </c>
      <c r="F78" s="26">
        <f t="shared" si="20"/>
        <v>1212.47</v>
      </c>
      <c r="G78" s="26">
        <f t="shared" si="20"/>
        <v>643.546</v>
      </c>
      <c r="H78" s="26">
        <f t="shared" si="20"/>
        <v>973.2180000000001</v>
      </c>
      <c r="I78" s="26">
        <f t="shared" si="20"/>
        <v>119.566</v>
      </c>
      <c r="J78" s="26">
        <f t="shared" si="20"/>
        <v>6940.186000000001</v>
      </c>
      <c r="K78" s="26">
        <f t="shared" si="20"/>
        <v>1203.1060000000002</v>
      </c>
      <c r="L78" s="26">
        <f t="shared" si="20"/>
        <v>202.494</v>
      </c>
      <c r="M78" s="26">
        <f t="shared" si="20"/>
        <v>364.625</v>
      </c>
      <c r="N78" s="26">
        <f t="shared" si="20"/>
        <v>170.436</v>
      </c>
      <c r="O78" s="26">
        <f t="shared" si="20"/>
        <v>1756.493</v>
      </c>
      <c r="P78" s="26">
        <f t="shared" si="20"/>
        <v>54.658</v>
      </c>
      <c r="Q78" s="26">
        <f t="shared" si="20"/>
        <v>2213.445</v>
      </c>
      <c r="R78" s="26">
        <f t="shared" si="20"/>
        <v>1671.718</v>
      </c>
      <c r="S78" s="26">
        <f t="shared" si="20"/>
        <v>3764.59</v>
      </c>
      <c r="T78" s="26">
        <f>SUM(T79:T85)</f>
        <v>2130.18</v>
      </c>
      <c r="U78" s="26">
        <f t="shared" si="20"/>
        <v>329.14900000000006</v>
      </c>
      <c r="V78" s="26">
        <f t="shared" si="20"/>
        <v>113.692</v>
      </c>
      <c r="W78" s="26">
        <f t="shared" si="20"/>
        <v>0</v>
      </c>
      <c r="X78" s="26">
        <f t="shared" si="20"/>
        <v>0</v>
      </c>
      <c r="Y78" s="26">
        <f t="shared" si="20"/>
        <v>0</v>
      </c>
      <c r="Z78" s="26">
        <f t="shared" si="20"/>
        <v>0</v>
      </c>
      <c r="AA78" s="26">
        <f t="shared" si="20"/>
        <v>25570.682</v>
      </c>
      <c r="AB78" s="53">
        <f t="shared" si="4"/>
        <v>-7921.082000000002</v>
      </c>
      <c r="AC78" s="4"/>
      <c r="AD78" s="56"/>
      <c r="AE78" s="56"/>
      <c r="AF78" s="56"/>
      <c r="AG78" s="33"/>
      <c r="AH78" s="33"/>
      <c r="AI78" s="33"/>
      <c r="AJ78" s="33"/>
      <c r="AK78" s="33"/>
      <c r="AL78" s="33"/>
      <c r="AM78" s="33"/>
      <c r="AN78" s="33"/>
    </row>
    <row r="79" spans="1:40" s="44" customFormat="1" ht="15.75">
      <c r="A79" s="4"/>
      <c r="B79" s="3" t="s">
        <v>3</v>
      </c>
      <c r="C79" s="23">
        <f>C20+C36+C42+C46+C50+C53+C58+C24</f>
        <v>17105.147</v>
      </c>
      <c r="D79" s="23">
        <f aca="true" t="shared" si="21" ref="D79:AA79">D20+D36+D42+D46+D50+D53+D58+D24</f>
        <v>0</v>
      </c>
      <c r="E79" s="23">
        <f t="shared" si="21"/>
        <v>12.169</v>
      </c>
      <c r="F79" s="23">
        <f t="shared" si="21"/>
        <v>28.819000000000003</v>
      </c>
      <c r="G79" s="23">
        <f t="shared" si="21"/>
        <v>158.18599999999998</v>
      </c>
      <c r="H79" s="23">
        <f t="shared" si="21"/>
        <v>273.672</v>
      </c>
      <c r="I79" s="23">
        <f t="shared" si="21"/>
        <v>77.566</v>
      </c>
      <c r="J79" s="23">
        <f t="shared" si="21"/>
        <v>4528.8330000000005</v>
      </c>
      <c r="K79" s="23">
        <f t="shared" si="21"/>
        <v>1105.2450000000001</v>
      </c>
      <c r="L79" s="23">
        <f t="shared" si="21"/>
        <v>165.087</v>
      </c>
      <c r="M79" s="23">
        <f t="shared" si="21"/>
        <v>15.812</v>
      </c>
      <c r="N79" s="23">
        <f t="shared" si="21"/>
        <v>0</v>
      </c>
      <c r="O79" s="23">
        <f t="shared" si="21"/>
        <v>0</v>
      </c>
      <c r="P79" s="23">
        <f t="shared" si="21"/>
        <v>30.117</v>
      </c>
      <c r="Q79" s="23">
        <f t="shared" si="21"/>
        <v>1693.941</v>
      </c>
      <c r="R79" s="23">
        <f t="shared" si="21"/>
        <v>1359.2820000000002</v>
      </c>
      <c r="S79" s="23">
        <f t="shared" si="21"/>
        <v>3297.1220000000003</v>
      </c>
      <c r="T79" s="23">
        <f t="shared" si="21"/>
        <v>1092.4209999999998</v>
      </c>
      <c r="U79" s="23">
        <f t="shared" si="21"/>
        <v>149.508</v>
      </c>
      <c r="V79" s="23">
        <f t="shared" si="21"/>
        <v>0</v>
      </c>
      <c r="W79" s="23">
        <f t="shared" si="21"/>
        <v>0</v>
      </c>
      <c r="X79" s="23">
        <f t="shared" si="21"/>
        <v>0</v>
      </c>
      <c r="Y79" s="23">
        <f t="shared" si="21"/>
        <v>0</v>
      </c>
      <c r="Z79" s="23">
        <f t="shared" si="21"/>
        <v>0</v>
      </c>
      <c r="AA79" s="23">
        <f t="shared" si="21"/>
        <v>13987.779999999999</v>
      </c>
      <c r="AB79" s="53">
        <f t="shared" si="4"/>
        <v>-3117.367000000002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2</v>
      </c>
      <c r="C80" s="23">
        <f>C25+C37+C59</f>
        <v>13.505</v>
      </c>
      <c r="D80" s="23">
        <f aca="true" t="shared" si="22" ref="D80:AA80">D25+D37+D59</f>
        <v>0</v>
      </c>
      <c r="E80" s="23">
        <f t="shared" si="22"/>
        <v>0</v>
      </c>
      <c r="F80" s="23">
        <f t="shared" si="22"/>
        <v>1.793</v>
      </c>
      <c r="G80" s="23">
        <f t="shared" si="22"/>
        <v>1.5</v>
      </c>
      <c r="H80" s="23">
        <f t="shared" si="22"/>
        <v>0</v>
      </c>
      <c r="I80" s="23">
        <f t="shared" si="22"/>
        <v>0</v>
      </c>
      <c r="J80" s="23">
        <f t="shared" si="22"/>
        <v>0</v>
      </c>
      <c r="K80" s="23">
        <f t="shared" si="22"/>
        <v>0</v>
      </c>
      <c r="L80" s="23">
        <f t="shared" si="22"/>
        <v>0</v>
      </c>
      <c r="M80" s="23">
        <f t="shared" si="22"/>
        <v>0.999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  <c r="R80" s="23">
        <f t="shared" si="22"/>
        <v>0</v>
      </c>
      <c r="S80" s="23">
        <f t="shared" si="22"/>
        <v>0</v>
      </c>
      <c r="T80" s="23">
        <f t="shared" si="22"/>
        <v>0</v>
      </c>
      <c r="U80" s="23">
        <f t="shared" si="22"/>
        <v>0</v>
      </c>
      <c r="V80" s="23">
        <f t="shared" si="22"/>
        <v>0</v>
      </c>
      <c r="W80" s="23">
        <f t="shared" si="22"/>
        <v>0</v>
      </c>
      <c r="X80" s="23">
        <f t="shared" si="22"/>
        <v>0</v>
      </c>
      <c r="Y80" s="23">
        <f t="shared" si="22"/>
        <v>0</v>
      </c>
      <c r="Z80" s="23">
        <f t="shared" si="22"/>
        <v>0</v>
      </c>
      <c r="AA80" s="23">
        <f t="shared" si="22"/>
        <v>4.292</v>
      </c>
      <c r="AB80" s="53">
        <f t="shared" si="4"/>
        <v>-9.213000000000001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0</v>
      </c>
      <c r="C81" s="23">
        <f>C26+C38</f>
        <v>763.1279999999999</v>
      </c>
      <c r="D81" s="23">
        <f aca="true" t="shared" si="23" ref="D81:AA81">D26+D38</f>
        <v>0</v>
      </c>
      <c r="E81" s="23">
        <f t="shared" si="23"/>
        <v>27.076</v>
      </c>
      <c r="F81" s="23">
        <f t="shared" si="23"/>
        <v>8.699</v>
      </c>
      <c r="G81" s="23">
        <f t="shared" si="23"/>
        <v>62.198</v>
      </c>
      <c r="H81" s="23">
        <f t="shared" si="23"/>
        <v>6.136</v>
      </c>
      <c r="I81" s="23">
        <f t="shared" si="23"/>
        <v>0</v>
      </c>
      <c r="J81" s="23">
        <f t="shared" si="23"/>
        <v>42.39</v>
      </c>
      <c r="K81" s="23">
        <f t="shared" si="23"/>
        <v>52.909</v>
      </c>
      <c r="L81" s="23">
        <f t="shared" si="23"/>
        <v>0</v>
      </c>
      <c r="M81" s="23">
        <f t="shared" si="23"/>
        <v>147.311</v>
      </c>
      <c r="N81" s="23">
        <f t="shared" si="23"/>
        <v>34.944</v>
      </c>
      <c r="O81" s="23">
        <f t="shared" si="23"/>
        <v>0</v>
      </c>
      <c r="P81" s="23">
        <f t="shared" si="23"/>
        <v>0</v>
      </c>
      <c r="Q81" s="23">
        <f t="shared" si="23"/>
        <v>86.818</v>
      </c>
      <c r="R81" s="23">
        <f t="shared" si="23"/>
        <v>67.215</v>
      </c>
      <c r="S81" s="23">
        <f t="shared" si="23"/>
        <v>34.229</v>
      </c>
      <c r="T81" s="23">
        <f t="shared" si="23"/>
        <v>3.3</v>
      </c>
      <c r="U81" s="23">
        <f t="shared" si="23"/>
        <v>0</v>
      </c>
      <c r="V81" s="23">
        <f t="shared" si="23"/>
        <v>0</v>
      </c>
      <c r="W81" s="23">
        <f t="shared" si="23"/>
        <v>0</v>
      </c>
      <c r="X81" s="23">
        <f t="shared" si="23"/>
        <v>0</v>
      </c>
      <c r="Y81" s="23">
        <f t="shared" si="23"/>
        <v>0</v>
      </c>
      <c r="Z81" s="23">
        <f t="shared" si="23"/>
        <v>0</v>
      </c>
      <c r="AA81" s="23">
        <f t="shared" si="23"/>
        <v>573.225</v>
      </c>
      <c r="AB81" s="53">
        <f t="shared" si="4"/>
        <v>-189.9029999999999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1</v>
      </c>
      <c r="C82" s="23">
        <f>C21+C27+C39+C43+C47+C54+C60+C67</f>
        <v>4597.287000000001</v>
      </c>
      <c r="D82" s="23">
        <f aca="true" t="shared" si="24" ref="D82:AA82">D21+D27+D39+D43+D47+D54+D60+D67</f>
        <v>0</v>
      </c>
      <c r="E82" s="23">
        <f t="shared" si="24"/>
        <v>49.193999999999996</v>
      </c>
      <c r="F82" s="23">
        <f t="shared" si="24"/>
        <v>124.682</v>
      </c>
      <c r="G82" s="23">
        <f t="shared" si="24"/>
        <v>309.40900000000005</v>
      </c>
      <c r="H82" s="23">
        <f t="shared" si="24"/>
        <v>504.285</v>
      </c>
      <c r="I82" s="23">
        <f t="shared" si="24"/>
        <v>0</v>
      </c>
      <c r="J82" s="23">
        <f t="shared" si="24"/>
        <v>1045.959</v>
      </c>
      <c r="K82" s="23">
        <f t="shared" si="24"/>
        <v>13.798</v>
      </c>
      <c r="L82" s="23">
        <f t="shared" si="24"/>
        <v>0</v>
      </c>
      <c r="M82" s="23">
        <f t="shared" si="24"/>
        <v>27.935</v>
      </c>
      <c r="N82" s="23">
        <f t="shared" si="24"/>
        <v>12.779</v>
      </c>
      <c r="O82" s="23">
        <f t="shared" si="24"/>
        <v>27.481999999999996</v>
      </c>
      <c r="P82" s="23">
        <f t="shared" si="24"/>
        <v>8.828</v>
      </c>
      <c r="Q82" s="23">
        <f t="shared" si="24"/>
        <v>113.17200000000001</v>
      </c>
      <c r="R82" s="23">
        <f t="shared" si="24"/>
        <v>25.259</v>
      </c>
      <c r="S82" s="23">
        <f t="shared" si="24"/>
        <v>118.411</v>
      </c>
      <c r="T82" s="23">
        <f t="shared" si="24"/>
        <v>1.155</v>
      </c>
      <c r="U82" s="23">
        <f t="shared" si="24"/>
        <v>-25.5</v>
      </c>
      <c r="V82" s="23">
        <f t="shared" si="24"/>
        <v>-3.245</v>
      </c>
      <c r="W82" s="23">
        <f t="shared" si="24"/>
        <v>0</v>
      </c>
      <c r="X82" s="23">
        <f t="shared" si="24"/>
        <v>0</v>
      </c>
      <c r="Y82" s="23">
        <f t="shared" si="24"/>
        <v>0</v>
      </c>
      <c r="Z82" s="23">
        <f t="shared" si="24"/>
        <v>0</v>
      </c>
      <c r="AA82" s="23">
        <f t="shared" si="24"/>
        <v>2353.6030000000005</v>
      </c>
      <c r="AB82" s="53">
        <f>AA82-C82</f>
        <v>-2243.6840000000007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9</v>
      </c>
      <c r="C83" s="23">
        <f>C55</f>
        <v>3.02</v>
      </c>
      <c r="D83" s="23">
        <f aca="true" t="shared" si="25" ref="D83:AA83">D55</f>
        <v>0</v>
      </c>
      <c r="E83" s="23">
        <f t="shared" si="25"/>
        <v>0</v>
      </c>
      <c r="F83" s="23">
        <f t="shared" si="25"/>
        <v>0</v>
      </c>
      <c r="G83" s="23">
        <f t="shared" si="25"/>
        <v>0</v>
      </c>
      <c r="H83" s="23">
        <f t="shared" si="25"/>
        <v>0</v>
      </c>
      <c r="I83" s="23">
        <f t="shared" si="25"/>
        <v>0</v>
      </c>
      <c r="J83" s="23">
        <f t="shared" si="25"/>
        <v>0</v>
      </c>
      <c r="K83" s="23">
        <f t="shared" si="25"/>
        <v>0</v>
      </c>
      <c r="L83" s="23">
        <f t="shared" si="25"/>
        <v>0</v>
      </c>
      <c r="M83" s="23">
        <f t="shared" si="25"/>
        <v>0</v>
      </c>
      <c r="N83" s="23">
        <f t="shared" si="25"/>
        <v>0</v>
      </c>
      <c r="O83" s="23">
        <f t="shared" si="25"/>
        <v>0</v>
      </c>
      <c r="P83" s="23">
        <f t="shared" si="25"/>
        <v>0</v>
      </c>
      <c r="Q83" s="23">
        <f t="shared" si="25"/>
        <v>0</v>
      </c>
      <c r="R83" s="23">
        <f t="shared" si="25"/>
        <v>0</v>
      </c>
      <c r="S83" s="23">
        <f t="shared" si="25"/>
        <v>0</v>
      </c>
      <c r="T83" s="23">
        <f t="shared" si="25"/>
        <v>0</v>
      </c>
      <c r="U83" s="23">
        <f t="shared" si="25"/>
        <v>0</v>
      </c>
      <c r="V83" s="23">
        <f t="shared" si="25"/>
        <v>0</v>
      </c>
      <c r="W83" s="23">
        <f t="shared" si="25"/>
        <v>0</v>
      </c>
      <c r="X83" s="23">
        <f t="shared" si="25"/>
        <v>0</v>
      </c>
      <c r="Y83" s="23">
        <f t="shared" si="25"/>
        <v>0</v>
      </c>
      <c r="Z83" s="23">
        <f t="shared" si="25"/>
        <v>0</v>
      </c>
      <c r="AA83" s="23">
        <f t="shared" si="25"/>
        <v>0</v>
      </c>
      <c r="AB83" s="53">
        <f>AA83-C83</f>
        <v>-3.02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10</v>
      </c>
      <c r="C84" s="23">
        <f>C30+C51+C61+C65+C76+C31+C68</f>
        <v>7263.835</v>
      </c>
      <c r="D84" s="23">
        <f aca="true" t="shared" si="26" ref="D84:AA84">D30+D51+D61+D65+D76+D31+D68</f>
        <v>0</v>
      </c>
      <c r="E84" s="23">
        <f t="shared" si="26"/>
        <v>1231.95</v>
      </c>
      <c r="F84" s="23">
        <f t="shared" si="26"/>
        <v>618.767</v>
      </c>
      <c r="G84" s="23">
        <f t="shared" si="26"/>
        <v>12.061</v>
      </c>
      <c r="H84" s="23">
        <f t="shared" si="26"/>
        <v>29.653</v>
      </c>
      <c r="I84" s="23">
        <f t="shared" si="26"/>
        <v>0</v>
      </c>
      <c r="J84" s="23">
        <f t="shared" si="26"/>
        <v>1231.95</v>
      </c>
      <c r="K84" s="23">
        <f t="shared" si="26"/>
        <v>0</v>
      </c>
      <c r="L84" s="23">
        <f t="shared" si="26"/>
        <v>0</v>
      </c>
      <c r="M84" s="23">
        <f t="shared" si="26"/>
        <v>17.932</v>
      </c>
      <c r="N84" s="23">
        <f t="shared" si="26"/>
        <v>94.682</v>
      </c>
      <c r="O84" s="23">
        <f t="shared" si="26"/>
        <v>768.084</v>
      </c>
      <c r="P84" s="23">
        <f t="shared" si="26"/>
        <v>0</v>
      </c>
      <c r="Q84" s="23">
        <f t="shared" si="26"/>
        <v>125.07999999999998</v>
      </c>
      <c r="R84" s="23">
        <f t="shared" si="26"/>
        <v>19.982</v>
      </c>
      <c r="S84" s="23">
        <f t="shared" si="26"/>
        <v>0</v>
      </c>
      <c r="T84" s="23">
        <f t="shared" si="26"/>
        <v>379.949</v>
      </c>
      <c r="U84" s="23">
        <f t="shared" si="26"/>
        <v>195.264</v>
      </c>
      <c r="V84" s="23">
        <f t="shared" si="26"/>
        <v>121.095</v>
      </c>
      <c r="W84" s="23">
        <f t="shared" si="26"/>
        <v>0</v>
      </c>
      <c r="X84" s="23">
        <f t="shared" si="26"/>
        <v>0</v>
      </c>
      <c r="Y84" s="23">
        <f t="shared" si="26"/>
        <v>0</v>
      </c>
      <c r="Z84" s="23">
        <f t="shared" si="26"/>
        <v>0</v>
      </c>
      <c r="AA84" s="23">
        <f t="shared" si="26"/>
        <v>4846.4490000000005</v>
      </c>
      <c r="AB84" s="53">
        <f>AA84-C84</f>
        <v>-2417.3859999999995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3" t="s">
        <v>5</v>
      </c>
      <c r="C85" s="23">
        <f>C22+C28+C32+C33+C40+C44+C48+C56+C62+C71+C74+C75+C77+C64+C73+C72+C34+C69</f>
        <v>3745.8420000000006</v>
      </c>
      <c r="D85" s="23">
        <f aca="true" t="shared" si="27" ref="D85:AA85">D22+D28+D32+D33+D40+D44+D48+D56+D62+D71+D74+D75+D77+D64+D73+D72+D34+D69</f>
        <v>212.737</v>
      </c>
      <c r="E85" s="23">
        <f t="shared" si="27"/>
        <v>66.984</v>
      </c>
      <c r="F85" s="23">
        <f t="shared" si="27"/>
        <v>429.71000000000004</v>
      </c>
      <c r="G85" s="23">
        <f t="shared" si="27"/>
        <v>100.19200000000001</v>
      </c>
      <c r="H85" s="23">
        <f t="shared" si="27"/>
        <v>159.472</v>
      </c>
      <c r="I85" s="23">
        <f t="shared" si="27"/>
        <v>42</v>
      </c>
      <c r="J85" s="23">
        <f t="shared" si="27"/>
        <v>91.054</v>
      </c>
      <c r="K85" s="23">
        <f t="shared" si="27"/>
        <v>31.154000000000003</v>
      </c>
      <c r="L85" s="23">
        <f t="shared" si="27"/>
        <v>37.407000000000004</v>
      </c>
      <c r="M85" s="23">
        <f t="shared" si="27"/>
        <v>154.63600000000002</v>
      </c>
      <c r="N85" s="23">
        <f t="shared" si="27"/>
        <v>28.031</v>
      </c>
      <c r="O85" s="23">
        <f t="shared" si="27"/>
        <v>960.927</v>
      </c>
      <c r="P85" s="23">
        <f t="shared" si="27"/>
        <v>15.713</v>
      </c>
      <c r="Q85" s="23">
        <f t="shared" si="27"/>
        <v>194.43400000000003</v>
      </c>
      <c r="R85" s="23">
        <f t="shared" si="27"/>
        <v>199.98000000000002</v>
      </c>
      <c r="S85" s="23">
        <f t="shared" si="27"/>
        <v>314.828</v>
      </c>
      <c r="T85" s="23">
        <f t="shared" si="27"/>
        <v>653.355</v>
      </c>
      <c r="U85" s="23">
        <f t="shared" si="27"/>
        <v>9.877</v>
      </c>
      <c r="V85" s="23">
        <f t="shared" si="27"/>
        <v>-4.158</v>
      </c>
      <c r="W85" s="23">
        <f t="shared" si="27"/>
        <v>0</v>
      </c>
      <c r="X85" s="23">
        <f t="shared" si="27"/>
        <v>0</v>
      </c>
      <c r="Y85" s="23">
        <f t="shared" si="27"/>
        <v>0</v>
      </c>
      <c r="Z85" s="23">
        <f t="shared" si="27"/>
        <v>0</v>
      </c>
      <c r="AA85" s="23">
        <f t="shared" si="27"/>
        <v>3805.3330000000005</v>
      </c>
      <c r="AB85" s="53">
        <f>AA85-C85</f>
        <v>59.490999999999985</v>
      </c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/>
      <c r="C86" s="2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 t="s">
        <v>55</v>
      </c>
      <c r="C87" s="30">
        <f aca="true" t="shared" si="28" ref="C87:Y87">C18-C78</f>
        <v>0</v>
      </c>
      <c r="D87" s="20">
        <f t="shared" si="28"/>
        <v>0</v>
      </c>
      <c r="E87" s="20">
        <f t="shared" si="28"/>
        <v>0</v>
      </c>
      <c r="F87" s="20">
        <f t="shared" si="28"/>
        <v>0</v>
      </c>
      <c r="G87" s="20">
        <f t="shared" si="28"/>
        <v>0</v>
      </c>
      <c r="H87" s="20">
        <f t="shared" si="28"/>
        <v>0</v>
      </c>
      <c r="I87" s="20">
        <f t="shared" si="28"/>
        <v>0</v>
      </c>
      <c r="J87" s="20">
        <f t="shared" si="28"/>
        <v>0</v>
      </c>
      <c r="K87" s="20">
        <f t="shared" si="28"/>
        <v>0</v>
      </c>
      <c r="L87" s="20">
        <f t="shared" si="28"/>
        <v>0</v>
      </c>
      <c r="M87" s="20">
        <f t="shared" si="28"/>
        <v>0</v>
      </c>
      <c r="N87" s="20">
        <f t="shared" si="28"/>
        <v>0</v>
      </c>
      <c r="O87" s="20">
        <f t="shared" si="28"/>
        <v>0</v>
      </c>
      <c r="P87" s="20">
        <f t="shared" si="28"/>
        <v>0</v>
      </c>
      <c r="Q87" s="20">
        <f t="shared" si="28"/>
        <v>0</v>
      </c>
      <c r="R87" s="20">
        <f t="shared" si="28"/>
        <v>0</v>
      </c>
      <c r="S87" s="20">
        <f t="shared" si="28"/>
        <v>0</v>
      </c>
      <c r="T87" s="20">
        <f t="shared" si="28"/>
        <v>0</v>
      </c>
      <c r="U87" s="20">
        <f t="shared" si="28"/>
        <v>0</v>
      </c>
      <c r="V87" s="20">
        <f t="shared" si="28"/>
        <v>0</v>
      </c>
      <c r="W87" s="20">
        <f t="shared" si="28"/>
        <v>0</v>
      </c>
      <c r="X87" s="20">
        <f t="shared" si="28"/>
        <v>0</v>
      </c>
      <c r="Y87" s="20">
        <f t="shared" si="28"/>
        <v>0</v>
      </c>
      <c r="Z87" s="20"/>
      <c r="AA87" s="20">
        <f>AA18-AA78</f>
        <v>-107</v>
      </c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89" spans="1:40" s="44" customFormat="1" ht="15.75">
      <c r="A89" s="4"/>
      <c r="B89" s="4"/>
      <c r="C89" s="31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51"/>
      <c r="AC89" s="4"/>
      <c r="AG89" s="34"/>
      <c r="AH89" s="34"/>
      <c r="AI89" s="34"/>
      <c r="AJ89" s="34"/>
      <c r="AK89" s="34"/>
      <c r="AL89" s="34"/>
      <c r="AM89" s="34"/>
      <c r="AN89" s="34"/>
    </row>
    <row r="91" spans="1:40" s="44" customFormat="1" ht="15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51"/>
      <c r="AC91" s="62"/>
      <c r="AG91" s="34"/>
      <c r="AH91" s="34"/>
      <c r="AI91" s="34"/>
      <c r="AJ91" s="34"/>
      <c r="AK91" s="34"/>
      <c r="AL91" s="34"/>
      <c r="AM91" s="34"/>
      <c r="AN91" s="34"/>
    </row>
    <row r="170" ht="15.75">
      <c r="B170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3:AN169"/>
  <sheetViews>
    <sheetView tabSelected="1" view="pageBreakPreview" zoomScale="75" zoomScaleNormal="70" zoomScaleSheetLayoutView="75" workbookViewId="0" topLeftCell="B1">
      <pane xSplit="4260" ySplit="2265" topLeftCell="E2" activePane="bottomRight" state="split"/>
      <selection pane="topLeft" activeCell="B73" sqref="B73"/>
      <selection pane="topRight" activeCell="B4" sqref="B4"/>
      <selection pane="bottomLeft" activeCell="C76" sqref="A76:IV76"/>
      <selection pane="bottomRight" activeCell="N12" sqref="N12"/>
    </sheetView>
  </sheetViews>
  <sheetFormatPr defaultColWidth="8.625" defaultRowHeight="12.75"/>
  <cols>
    <col min="1" max="1" width="5.00390625" style="4" hidden="1" customWidth="1"/>
    <col min="2" max="2" width="37.75390625" style="4" customWidth="1"/>
    <col min="3" max="3" width="11.625" style="4" customWidth="1"/>
    <col min="4" max="23" width="8.75390625" style="4" customWidth="1"/>
    <col min="24" max="24" width="8.75390625" style="4" hidden="1" customWidth="1"/>
    <col min="25" max="26" width="7.375" style="4" hidden="1" customWidth="1"/>
    <col min="27" max="27" width="17.625" style="4" customWidth="1"/>
    <col min="28" max="28" width="23.625" style="51" customWidth="1"/>
    <col min="29" max="29" width="9.375" style="4" customWidth="1"/>
    <col min="30" max="30" width="9.375" style="44" customWidth="1"/>
    <col min="31" max="31" width="14.625" style="44" customWidth="1"/>
    <col min="32" max="32" width="9.375" style="44" customWidth="1"/>
    <col min="33" max="40" width="9.375" style="34" customWidth="1"/>
    <col min="41" max="16384" width="8.625" style="4" customWidth="1"/>
  </cols>
  <sheetData>
    <row r="3" spans="2:40" s="10" customFormat="1" ht="18.75">
      <c r="B3" s="81" t="s">
        <v>66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50"/>
      <c r="AD3" s="56"/>
      <c r="AE3" s="56"/>
      <c r="AF3" s="56"/>
      <c r="AG3" s="33"/>
      <c r="AH3" s="33"/>
      <c r="AI3" s="33"/>
      <c r="AJ3" s="33"/>
      <c r="AK3" s="33"/>
      <c r="AL3" s="33"/>
      <c r="AM3" s="33"/>
      <c r="AN3" s="33"/>
    </row>
    <row r="4" spans="2:27" ht="15.75">
      <c r="B4" s="4" t="s">
        <v>56</v>
      </c>
      <c r="AA4" s="16" t="s">
        <v>13</v>
      </c>
    </row>
    <row r="5" spans="2:27" ht="71.25">
      <c r="B5" s="5" t="s">
        <v>6</v>
      </c>
      <c r="C5" s="28" t="s">
        <v>21</v>
      </c>
      <c r="D5" s="2">
        <v>1</v>
      </c>
      <c r="E5" s="5">
        <v>2</v>
      </c>
      <c r="F5" s="5">
        <v>3</v>
      </c>
      <c r="G5" s="5">
        <v>4</v>
      </c>
      <c r="H5" s="5">
        <v>5</v>
      </c>
      <c r="I5" s="5">
        <v>8</v>
      </c>
      <c r="J5" s="6">
        <v>9</v>
      </c>
      <c r="K5" s="5">
        <v>10</v>
      </c>
      <c r="L5" s="5">
        <v>11</v>
      </c>
      <c r="M5" s="5">
        <v>12</v>
      </c>
      <c r="N5" s="5">
        <v>15</v>
      </c>
      <c r="O5" s="5">
        <v>16</v>
      </c>
      <c r="P5" s="5">
        <v>17</v>
      </c>
      <c r="Q5" s="5">
        <v>18</v>
      </c>
      <c r="R5" s="5">
        <v>19</v>
      </c>
      <c r="S5" s="5">
        <v>22</v>
      </c>
      <c r="T5" s="5">
        <v>23</v>
      </c>
      <c r="U5" s="5">
        <v>25</v>
      </c>
      <c r="V5" s="6">
        <v>25</v>
      </c>
      <c r="W5" s="5">
        <v>26</v>
      </c>
      <c r="X5" s="6"/>
      <c r="Y5" s="6"/>
      <c r="Z5" s="6"/>
      <c r="AA5" s="2" t="s">
        <v>4</v>
      </c>
    </row>
    <row r="6" spans="2:27" ht="30">
      <c r="B6" s="48" t="s">
        <v>39</v>
      </c>
      <c r="C6" s="21">
        <f>SUM(D6:Y6)</f>
        <v>0</v>
      </c>
      <c r="D6" s="45"/>
      <c r="E6" s="7"/>
      <c r="F6" s="9"/>
      <c r="G6" s="7"/>
      <c r="H6" s="9"/>
      <c r="I6" s="9"/>
      <c r="J6" s="46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46"/>
      <c r="W6" s="9"/>
      <c r="X6" s="46"/>
      <c r="Y6" s="46"/>
      <c r="Z6" s="46"/>
      <c r="AA6" s="2"/>
    </row>
    <row r="7" spans="2:27" ht="15.75">
      <c r="B7" s="49" t="s">
        <v>38</v>
      </c>
      <c r="C7" s="21">
        <f>SUM(D7:Y7)</f>
        <v>1800.1</v>
      </c>
      <c r="D7" s="1">
        <v>1800.1</v>
      </c>
      <c r="E7" s="7"/>
      <c r="F7" s="7"/>
      <c r="G7" s="7"/>
      <c r="H7" s="7"/>
      <c r="I7" s="7"/>
      <c r="J7" s="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8"/>
      <c r="W7" s="7"/>
      <c r="X7" s="8"/>
      <c r="Y7" s="8"/>
      <c r="Z7" s="8"/>
      <c r="AA7" s="1" t="s">
        <v>11</v>
      </c>
    </row>
    <row r="8" spans="2:27" ht="15.75">
      <c r="B8" s="38" t="s">
        <v>26</v>
      </c>
      <c r="C8" s="54">
        <f aca="true" t="shared" si="0" ref="C8:C16">SUM(D8:Z8)</f>
        <v>558.8999999999999</v>
      </c>
      <c r="D8" s="37">
        <f aca="true" t="shared" si="1" ref="D8:Y8">SUM(D9:D16)</f>
        <v>275.49999999999994</v>
      </c>
      <c r="E8" s="37">
        <f t="shared" si="1"/>
        <v>283.3999999999999</v>
      </c>
      <c r="F8" s="37">
        <f t="shared" si="1"/>
        <v>0</v>
      </c>
      <c r="G8" s="37">
        <f t="shared" si="1"/>
        <v>0</v>
      </c>
      <c r="H8" s="37">
        <f t="shared" si="1"/>
        <v>0</v>
      </c>
      <c r="I8" s="37">
        <f>SUM(I9:I16)</f>
        <v>0</v>
      </c>
      <c r="J8" s="37">
        <f t="shared" si="1"/>
        <v>0</v>
      </c>
      <c r="K8" s="37">
        <f>SUM(K9:K16)</f>
        <v>0</v>
      </c>
      <c r="L8" s="37">
        <f t="shared" si="1"/>
        <v>0</v>
      </c>
      <c r="M8" s="37">
        <f t="shared" si="1"/>
        <v>0</v>
      </c>
      <c r="N8" s="37">
        <f t="shared" si="1"/>
        <v>0</v>
      </c>
      <c r="O8" s="37">
        <f t="shared" si="1"/>
        <v>0</v>
      </c>
      <c r="P8" s="37">
        <f t="shared" si="1"/>
        <v>0</v>
      </c>
      <c r="Q8" s="37">
        <f t="shared" si="1"/>
        <v>0</v>
      </c>
      <c r="R8" s="37">
        <f t="shared" si="1"/>
        <v>0</v>
      </c>
      <c r="S8" s="37">
        <f>SUM(S9:S16)</f>
        <v>0</v>
      </c>
      <c r="T8" s="37">
        <f>SUM(T9:T16)</f>
        <v>0</v>
      </c>
      <c r="U8" s="37">
        <f t="shared" si="1"/>
        <v>0</v>
      </c>
      <c r="V8" s="37">
        <f t="shared" si="1"/>
        <v>0</v>
      </c>
      <c r="W8" s="37">
        <f t="shared" si="1"/>
        <v>0</v>
      </c>
      <c r="X8" s="37">
        <f t="shared" si="1"/>
        <v>0</v>
      </c>
      <c r="Y8" s="37">
        <f t="shared" si="1"/>
        <v>0</v>
      </c>
      <c r="Z8" s="37">
        <f>SUM(Z9:Z16)</f>
        <v>0</v>
      </c>
      <c r="AA8" s="37" t="s">
        <v>11</v>
      </c>
    </row>
    <row r="9" spans="2:40" s="35" customFormat="1" ht="15.75">
      <c r="B9" s="39" t="s">
        <v>27</v>
      </c>
      <c r="C9" s="47">
        <f t="shared" si="0"/>
        <v>136.39999999999998</v>
      </c>
      <c r="D9" s="40">
        <v>68.8</v>
      </c>
      <c r="E9" s="8">
        <v>67.6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43"/>
      <c r="S9" s="43"/>
      <c r="T9" s="8"/>
      <c r="U9" s="43"/>
      <c r="V9" s="8"/>
      <c r="W9" s="8"/>
      <c r="X9" s="8"/>
      <c r="Y9" s="8"/>
      <c r="Z9" s="8"/>
      <c r="AA9" s="40"/>
      <c r="AB9" s="63"/>
      <c r="AD9" s="77"/>
      <c r="AE9" s="78"/>
      <c r="AF9" s="78"/>
      <c r="AG9" s="36"/>
      <c r="AH9" s="36"/>
      <c r="AI9" s="36"/>
      <c r="AJ9" s="36"/>
      <c r="AK9" s="36"/>
      <c r="AL9" s="36"/>
      <c r="AM9" s="36"/>
      <c r="AN9" s="36"/>
    </row>
    <row r="10" spans="2:40" s="35" customFormat="1" ht="30" customHeight="1">
      <c r="B10" s="39" t="s">
        <v>28</v>
      </c>
      <c r="C10" s="47">
        <f t="shared" si="0"/>
        <v>0</v>
      </c>
      <c r="D10" s="4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43"/>
      <c r="S10" s="43"/>
      <c r="T10" s="8"/>
      <c r="U10" s="43"/>
      <c r="V10" s="8"/>
      <c r="W10" s="8"/>
      <c r="X10" s="8"/>
      <c r="Y10" s="8"/>
      <c r="Z10" s="8"/>
      <c r="AA10" s="40"/>
      <c r="AB10" s="63"/>
      <c r="AD10" s="78"/>
      <c r="AE10" s="78"/>
      <c r="AF10" s="78"/>
      <c r="AG10" s="36"/>
      <c r="AH10" s="36"/>
      <c r="AI10" s="36"/>
      <c r="AJ10" s="36"/>
      <c r="AK10" s="36"/>
      <c r="AL10" s="36"/>
      <c r="AM10" s="36"/>
      <c r="AN10" s="36"/>
    </row>
    <row r="11" spans="2:40" s="35" customFormat="1" ht="30" customHeight="1">
      <c r="B11" s="39" t="s">
        <v>23</v>
      </c>
      <c r="C11" s="47">
        <f t="shared" si="0"/>
        <v>0.1</v>
      </c>
      <c r="D11" s="40">
        <v>0.1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43"/>
      <c r="S11" s="43"/>
      <c r="T11" s="8"/>
      <c r="U11" s="43"/>
      <c r="V11" s="8"/>
      <c r="W11" s="8"/>
      <c r="X11" s="8"/>
      <c r="Y11" s="8"/>
      <c r="Z11" s="8"/>
      <c r="AA11" s="40"/>
      <c r="AB11" s="63"/>
      <c r="AD11" s="78"/>
      <c r="AE11" s="78"/>
      <c r="AF11" s="78"/>
      <c r="AG11" s="36"/>
      <c r="AH11" s="36"/>
      <c r="AI11" s="36"/>
      <c r="AJ11" s="36"/>
      <c r="AK11" s="36"/>
      <c r="AL11" s="36"/>
      <c r="AM11" s="36"/>
      <c r="AN11" s="36"/>
    </row>
    <row r="12" spans="2:40" s="35" customFormat="1" ht="15.75">
      <c r="B12" s="39" t="s">
        <v>24</v>
      </c>
      <c r="C12" s="47">
        <f t="shared" si="0"/>
        <v>177.8</v>
      </c>
      <c r="D12" s="40">
        <v>65</v>
      </c>
      <c r="E12" s="8">
        <v>112.8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43"/>
      <c r="S12" s="43"/>
      <c r="T12" s="8"/>
      <c r="U12" s="43"/>
      <c r="V12" s="8"/>
      <c r="W12" s="8"/>
      <c r="X12" s="8"/>
      <c r="Y12" s="8"/>
      <c r="Z12" s="8"/>
      <c r="AA12" s="40"/>
      <c r="AB12" s="63"/>
      <c r="AD12" s="77"/>
      <c r="AE12" s="78"/>
      <c r="AF12" s="78"/>
      <c r="AG12" s="36"/>
      <c r="AH12" s="36"/>
      <c r="AI12" s="36"/>
      <c r="AJ12" s="36"/>
      <c r="AK12" s="36"/>
      <c r="AL12" s="36"/>
      <c r="AM12" s="36"/>
      <c r="AN12" s="36"/>
    </row>
    <row r="13" spans="2:40" s="35" customFormat="1" ht="15.75">
      <c r="B13" s="39" t="s">
        <v>22</v>
      </c>
      <c r="C13" s="47">
        <f t="shared" si="0"/>
        <v>68.80000000000001</v>
      </c>
      <c r="D13" s="40">
        <v>26.6</v>
      </c>
      <c r="E13" s="8">
        <v>42.2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43"/>
      <c r="S13" s="43"/>
      <c r="T13" s="8"/>
      <c r="U13" s="43"/>
      <c r="V13" s="8"/>
      <c r="W13" s="8"/>
      <c r="X13" s="8"/>
      <c r="Y13" s="8"/>
      <c r="Z13" s="8"/>
      <c r="AA13" s="40"/>
      <c r="AB13" s="63"/>
      <c r="AD13" s="77"/>
      <c r="AE13" s="78"/>
      <c r="AF13" s="78"/>
      <c r="AG13" s="36"/>
      <c r="AH13" s="36"/>
      <c r="AI13" s="36"/>
      <c r="AJ13" s="36"/>
      <c r="AK13" s="36"/>
      <c r="AL13" s="36"/>
      <c r="AM13" s="36"/>
      <c r="AN13" s="36"/>
    </row>
    <row r="14" spans="2:40" s="35" customFormat="1" ht="15.75">
      <c r="B14" s="39" t="s">
        <v>25</v>
      </c>
      <c r="C14" s="47">
        <f t="shared" si="0"/>
        <v>109.4</v>
      </c>
      <c r="D14" s="40">
        <v>61</v>
      </c>
      <c r="E14" s="8">
        <v>48.4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43"/>
      <c r="S14" s="43"/>
      <c r="T14" s="8"/>
      <c r="U14" s="43"/>
      <c r="V14" s="8"/>
      <c r="W14" s="8"/>
      <c r="X14" s="8"/>
      <c r="Y14" s="8"/>
      <c r="Z14" s="8"/>
      <c r="AA14" s="40"/>
      <c r="AB14" s="63"/>
      <c r="AD14" s="77"/>
      <c r="AE14" s="78"/>
      <c r="AF14" s="78"/>
      <c r="AG14" s="36"/>
      <c r="AH14" s="36"/>
      <c r="AI14" s="36"/>
      <c r="AJ14" s="36"/>
      <c r="AK14" s="36"/>
      <c r="AL14" s="36"/>
      <c r="AM14" s="36"/>
      <c r="AN14" s="36"/>
    </row>
    <row r="15" spans="2:40" s="35" customFormat="1" ht="16.5" customHeight="1">
      <c r="B15" s="39" t="s">
        <v>31</v>
      </c>
      <c r="C15" s="47">
        <f t="shared" si="0"/>
        <v>22.6</v>
      </c>
      <c r="D15" s="40">
        <v>12.2</v>
      </c>
      <c r="E15" s="8">
        <v>10.4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43"/>
      <c r="S15" s="43"/>
      <c r="T15" s="8"/>
      <c r="U15" s="43"/>
      <c r="V15" s="8"/>
      <c r="W15" s="8"/>
      <c r="X15" s="8"/>
      <c r="Y15" s="8"/>
      <c r="Z15" s="8"/>
      <c r="AA15" s="40"/>
      <c r="AB15" s="63"/>
      <c r="AD15" s="77"/>
      <c r="AE15" s="78"/>
      <c r="AF15" s="78"/>
      <c r="AG15" s="36"/>
      <c r="AH15" s="36"/>
      <c r="AI15" s="36"/>
      <c r="AJ15" s="36"/>
      <c r="AK15" s="36"/>
      <c r="AL15" s="36"/>
      <c r="AM15" s="36"/>
      <c r="AN15" s="36"/>
    </row>
    <row r="16" spans="2:40" s="35" customFormat="1" ht="30" customHeight="1">
      <c r="B16" s="39" t="s">
        <v>30</v>
      </c>
      <c r="C16" s="47">
        <f t="shared" si="0"/>
        <v>43.8</v>
      </c>
      <c r="D16" s="40">
        <v>41.8</v>
      </c>
      <c r="E16" s="8">
        <v>2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43"/>
      <c r="S16" s="43"/>
      <c r="T16" s="8"/>
      <c r="U16" s="43"/>
      <c r="V16" s="8"/>
      <c r="W16" s="8"/>
      <c r="X16" s="43"/>
      <c r="Y16" s="8"/>
      <c r="Z16" s="8"/>
      <c r="AA16" s="40"/>
      <c r="AB16" s="52"/>
      <c r="AD16" s="77"/>
      <c r="AE16" s="78"/>
      <c r="AF16" s="78"/>
      <c r="AG16" s="36"/>
      <c r="AH16" s="36"/>
      <c r="AI16" s="36"/>
      <c r="AJ16" s="36"/>
      <c r="AK16" s="36"/>
      <c r="AL16" s="36"/>
      <c r="AM16" s="36"/>
      <c r="AN16" s="36"/>
    </row>
    <row r="17" spans="2:40" s="10" customFormat="1" ht="13.5" customHeight="1">
      <c r="B17" s="11" t="s">
        <v>8</v>
      </c>
      <c r="C17" s="12">
        <f>SUM(D17:Y17)</f>
        <v>2359</v>
      </c>
      <c r="D17" s="22">
        <f>SUM(D6:D8)</f>
        <v>2075.6</v>
      </c>
      <c r="E17" s="22">
        <f aca="true" t="shared" si="2" ref="E17:Y17">SUM(E6:E8)</f>
        <v>283.3999999999999</v>
      </c>
      <c r="F17" s="22">
        <f t="shared" si="2"/>
        <v>0</v>
      </c>
      <c r="G17" s="22">
        <f t="shared" si="2"/>
        <v>0</v>
      </c>
      <c r="H17" s="22">
        <f t="shared" si="2"/>
        <v>0</v>
      </c>
      <c r="I17" s="22">
        <f t="shared" si="2"/>
        <v>0</v>
      </c>
      <c r="J17" s="22">
        <f t="shared" si="2"/>
        <v>0</v>
      </c>
      <c r="K17" s="22">
        <f t="shared" si="2"/>
        <v>0</v>
      </c>
      <c r="L17" s="22">
        <f t="shared" si="2"/>
        <v>0</v>
      </c>
      <c r="M17" s="22">
        <f>SUM(M6:M8)</f>
        <v>0</v>
      </c>
      <c r="N17" s="22">
        <f t="shared" si="2"/>
        <v>0</v>
      </c>
      <c r="O17" s="22">
        <f t="shared" si="2"/>
        <v>0</v>
      </c>
      <c r="P17" s="22">
        <f t="shared" si="2"/>
        <v>0</v>
      </c>
      <c r="Q17" s="22">
        <f t="shared" si="2"/>
        <v>0</v>
      </c>
      <c r="R17" s="22">
        <f t="shared" si="2"/>
        <v>0</v>
      </c>
      <c r="S17" s="22">
        <f t="shared" si="2"/>
        <v>0</v>
      </c>
      <c r="T17" s="22">
        <f>SUM(T6:T8)</f>
        <v>0</v>
      </c>
      <c r="U17" s="22">
        <f t="shared" si="2"/>
        <v>0</v>
      </c>
      <c r="V17" s="22">
        <f t="shared" si="2"/>
        <v>0</v>
      </c>
      <c r="W17" s="22">
        <f t="shared" si="2"/>
        <v>0</v>
      </c>
      <c r="X17" s="22">
        <f t="shared" si="2"/>
        <v>0</v>
      </c>
      <c r="Y17" s="22">
        <f t="shared" si="2"/>
        <v>0</v>
      </c>
      <c r="Z17" s="22">
        <f>SUM(Z6:Z8)</f>
        <v>0</v>
      </c>
      <c r="AA17" s="22" t="s">
        <v>11</v>
      </c>
      <c r="AB17" s="50"/>
      <c r="AD17" s="56"/>
      <c r="AE17" s="56"/>
      <c r="AF17" s="56"/>
      <c r="AG17" s="33"/>
      <c r="AH17" s="33"/>
      <c r="AI17" s="33"/>
      <c r="AJ17" s="33"/>
      <c r="AK17" s="33"/>
      <c r="AL17" s="33"/>
      <c r="AM17" s="33"/>
      <c r="AN17" s="33"/>
    </row>
    <row r="18" spans="2:40" s="10" customFormat="1" ht="15.75">
      <c r="B18" s="14" t="s">
        <v>12</v>
      </c>
      <c r="C18" s="24">
        <f>C19+C23+C29+C32+C33+C34+C35+C41+C45+C49+C52+C57+C63+C70+C74+C75+C76+C31+C66+C73+C72</f>
        <v>28461.654000000002</v>
      </c>
      <c r="D18" s="24">
        <f aca="true" t="shared" si="3" ref="D18:AA18">D19+D23+D29+D32+D33+D34+D35+D41+D45+D49+D52+D57+D63+D70+D74+D75+D76+D31+D66+D73+D72</f>
        <v>0</v>
      </c>
      <c r="E18" s="24">
        <f t="shared" si="3"/>
        <v>73.521</v>
      </c>
      <c r="F18" s="24">
        <f t="shared" si="3"/>
        <v>289.265</v>
      </c>
      <c r="G18" s="24">
        <f t="shared" si="3"/>
        <v>0</v>
      </c>
      <c r="H18" s="24">
        <f t="shared" si="3"/>
        <v>0</v>
      </c>
      <c r="I18" s="24">
        <f t="shared" si="3"/>
        <v>0</v>
      </c>
      <c r="J18" s="24">
        <f t="shared" si="3"/>
        <v>0</v>
      </c>
      <c r="K18" s="24">
        <f t="shared" si="3"/>
        <v>0</v>
      </c>
      <c r="L18" s="24">
        <f t="shared" si="3"/>
        <v>0</v>
      </c>
      <c r="M18" s="24">
        <f t="shared" si="3"/>
        <v>0</v>
      </c>
      <c r="N18" s="24">
        <f t="shared" si="3"/>
        <v>0</v>
      </c>
      <c r="O18" s="24">
        <f t="shared" si="3"/>
        <v>0</v>
      </c>
      <c r="P18" s="24">
        <f t="shared" si="3"/>
        <v>0</v>
      </c>
      <c r="Q18" s="24">
        <f t="shared" si="3"/>
        <v>0</v>
      </c>
      <c r="R18" s="24">
        <f t="shared" si="3"/>
        <v>0</v>
      </c>
      <c r="S18" s="24">
        <f t="shared" si="3"/>
        <v>0</v>
      </c>
      <c r="T18" s="24">
        <f t="shared" si="3"/>
        <v>0</v>
      </c>
      <c r="U18" s="24">
        <f t="shared" si="3"/>
        <v>0</v>
      </c>
      <c r="V18" s="24">
        <f t="shared" si="3"/>
        <v>0</v>
      </c>
      <c r="W18" s="24">
        <f t="shared" si="3"/>
        <v>0</v>
      </c>
      <c r="X18" s="24">
        <f t="shared" si="3"/>
        <v>0</v>
      </c>
      <c r="Y18" s="24">
        <f t="shared" si="3"/>
        <v>0</v>
      </c>
      <c r="Z18" s="24">
        <f t="shared" si="3"/>
        <v>0</v>
      </c>
      <c r="AA18" s="24">
        <f t="shared" si="3"/>
        <v>362.786</v>
      </c>
      <c r="AB18" s="53">
        <f aca="true" t="shared" si="4" ref="AB18:AB80">AA18-C18</f>
        <v>-28098.868000000002</v>
      </c>
      <c r="AD18" s="56"/>
      <c r="AE18" s="56"/>
      <c r="AF18" s="56"/>
      <c r="AG18" s="33"/>
      <c r="AH18" s="33"/>
      <c r="AI18" s="33"/>
      <c r="AJ18" s="33"/>
      <c r="AK18" s="33"/>
      <c r="AL18" s="33"/>
      <c r="AM18" s="33"/>
      <c r="AN18" s="33"/>
    </row>
    <row r="19" spans="1:40" s="10" customFormat="1" ht="15.75">
      <c r="A19" s="10">
        <v>10116</v>
      </c>
      <c r="B19" s="13" t="s">
        <v>40</v>
      </c>
      <c r="C19" s="18">
        <f aca="true" t="shared" si="5" ref="C19:AA19">SUM(C20:C22)</f>
        <v>3927.446</v>
      </c>
      <c r="D19" s="18">
        <f t="shared" si="5"/>
        <v>0</v>
      </c>
      <c r="E19" s="18">
        <f t="shared" si="5"/>
        <v>4.54</v>
      </c>
      <c r="F19" s="18">
        <f t="shared" si="5"/>
        <v>76.56899999999999</v>
      </c>
      <c r="G19" s="18">
        <f t="shared" si="5"/>
        <v>0</v>
      </c>
      <c r="H19" s="18">
        <f t="shared" si="5"/>
        <v>0</v>
      </c>
      <c r="I19" s="18">
        <f t="shared" si="5"/>
        <v>0</v>
      </c>
      <c r="J19" s="18">
        <f t="shared" si="5"/>
        <v>0</v>
      </c>
      <c r="K19" s="18">
        <f t="shared" si="5"/>
        <v>0</v>
      </c>
      <c r="L19" s="18">
        <f t="shared" si="5"/>
        <v>0</v>
      </c>
      <c r="M19" s="18">
        <f t="shared" si="5"/>
        <v>0</v>
      </c>
      <c r="N19" s="18">
        <f t="shared" si="5"/>
        <v>0</v>
      </c>
      <c r="O19" s="18">
        <f t="shared" si="5"/>
        <v>0</v>
      </c>
      <c r="P19" s="18">
        <f t="shared" si="5"/>
        <v>0</v>
      </c>
      <c r="Q19" s="18">
        <f t="shared" si="5"/>
        <v>0</v>
      </c>
      <c r="R19" s="18">
        <f t="shared" si="5"/>
        <v>0</v>
      </c>
      <c r="S19" s="18">
        <f t="shared" si="5"/>
        <v>0</v>
      </c>
      <c r="T19" s="18">
        <f>SUM(T20:T22)</f>
        <v>0</v>
      </c>
      <c r="U19" s="18">
        <f t="shared" si="5"/>
        <v>0</v>
      </c>
      <c r="V19" s="18">
        <f t="shared" si="5"/>
        <v>0</v>
      </c>
      <c r="W19" s="18">
        <f t="shared" si="5"/>
        <v>0</v>
      </c>
      <c r="X19" s="18">
        <f t="shared" si="5"/>
        <v>0</v>
      </c>
      <c r="Y19" s="18">
        <f t="shared" si="5"/>
        <v>0</v>
      </c>
      <c r="Z19" s="18">
        <f>SUM(Z20:Z22)</f>
        <v>0</v>
      </c>
      <c r="AA19" s="18">
        <f t="shared" si="5"/>
        <v>81.109</v>
      </c>
      <c r="AB19" s="53">
        <f t="shared" si="4"/>
        <v>-3846.337</v>
      </c>
      <c r="AD19" s="44"/>
      <c r="AE19" s="56"/>
      <c r="AF19" s="56"/>
      <c r="AG19" s="33"/>
      <c r="AH19" s="33"/>
      <c r="AI19" s="33"/>
      <c r="AJ19" s="33"/>
      <c r="AK19" s="33"/>
      <c r="AL19" s="33"/>
      <c r="AM19" s="33"/>
      <c r="AN19" s="33"/>
    </row>
    <row r="20" spans="2:31" ht="15.75">
      <c r="B20" s="3" t="s">
        <v>3</v>
      </c>
      <c r="C20" s="23">
        <v>2985.997</v>
      </c>
      <c r="D20" s="7"/>
      <c r="E20" s="7"/>
      <c r="F20" s="7">
        <v>33.915</v>
      </c>
      <c r="G20" s="7"/>
      <c r="H20" s="7"/>
      <c r="I20" s="7"/>
      <c r="J20" s="8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8"/>
      <c r="W20" s="8"/>
      <c r="X20" s="8"/>
      <c r="Y20" s="7"/>
      <c r="Z20" s="7"/>
      <c r="AA20" s="7">
        <f>SUM(D20:Z20)</f>
        <v>33.915</v>
      </c>
      <c r="AB20" s="53">
        <f t="shared" si="4"/>
        <v>-2952.082</v>
      </c>
      <c r="AD20" s="56" t="s">
        <v>48</v>
      </c>
      <c r="AE20" s="79">
        <f>AA19</f>
        <v>81.109</v>
      </c>
    </row>
    <row r="21" spans="2:31" ht="15.75">
      <c r="B21" s="3" t="s">
        <v>1</v>
      </c>
      <c r="C21" s="23">
        <v>404.086</v>
      </c>
      <c r="D21" s="7"/>
      <c r="E21" s="7"/>
      <c r="F21" s="7">
        <v>23.715</v>
      </c>
      <c r="G21" s="7"/>
      <c r="H21" s="7"/>
      <c r="I21" s="7"/>
      <c r="J21" s="8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8"/>
      <c r="X21" s="8"/>
      <c r="Y21" s="7"/>
      <c r="Z21" s="7"/>
      <c r="AA21" s="7">
        <f>SUM(D21:Z21)</f>
        <v>23.715</v>
      </c>
      <c r="AB21" s="53">
        <f t="shared" si="4"/>
        <v>-380.37100000000004</v>
      </c>
      <c r="AD21" s="56" t="s">
        <v>15</v>
      </c>
      <c r="AE21" s="79">
        <f>AA23</f>
        <v>19.088</v>
      </c>
    </row>
    <row r="22" spans="2:31" ht="15.75">
      <c r="B22" s="3" t="s">
        <v>5</v>
      </c>
      <c r="C22" s="23">
        <v>537.363</v>
      </c>
      <c r="D22" s="7"/>
      <c r="E22" s="7">
        <v>4.54</v>
      </c>
      <c r="F22" s="7">
        <v>18.939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>
        <f>SUM(D22:Z22)</f>
        <v>23.479</v>
      </c>
      <c r="AB22" s="53">
        <f t="shared" si="4"/>
        <v>-513.884</v>
      </c>
      <c r="AD22" s="56" t="s">
        <v>52</v>
      </c>
      <c r="AE22" s="79">
        <f>$AA$29+$AA$31</f>
        <v>0</v>
      </c>
    </row>
    <row r="23" spans="1:40" s="10" customFormat="1" ht="15.75">
      <c r="A23" s="10">
        <v>7000</v>
      </c>
      <c r="B23" s="13" t="s">
        <v>33</v>
      </c>
      <c r="C23" s="18">
        <f aca="true" t="shared" si="6" ref="C23:AA23">SUM(C24:C28)</f>
        <v>15352.094000000001</v>
      </c>
      <c r="D23" s="18">
        <f t="shared" si="6"/>
        <v>0</v>
      </c>
      <c r="E23" s="18">
        <f t="shared" si="6"/>
        <v>19.088</v>
      </c>
      <c r="F23" s="18">
        <f t="shared" si="6"/>
        <v>0</v>
      </c>
      <c r="G23" s="18">
        <f t="shared" si="6"/>
        <v>0</v>
      </c>
      <c r="H23" s="18">
        <f t="shared" si="6"/>
        <v>0</v>
      </c>
      <c r="I23" s="18">
        <f t="shared" si="6"/>
        <v>0</v>
      </c>
      <c r="J23" s="18">
        <f t="shared" si="6"/>
        <v>0</v>
      </c>
      <c r="K23" s="18">
        <f t="shared" si="6"/>
        <v>0</v>
      </c>
      <c r="L23" s="18">
        <f t="shared" si="6"/>
        <v>0</v>
      </c>
      <c r="M23" s="18">
        <f t="shared" si="6"/>
        <v>0</v>
      </c>
      <c r="N23" s="18">
        <f t="shared" si="6"/>
        <v>0</v>
      </c>
      <c r="O23" s="18">
        <f t="shared" si="6"/>
        <v>0</v>
      </c>
      <c r="P23" s="18">
        <f t="shared" si="6"/>
        <v>0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>SUM(T24:T28)</f>
        <v>0</v>
      </c>
      <c r="U23" s="18">
        <f>SUM(U24:U28)</f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8">
        <f t="shared" si="6"/>
        <v>0</v>
      </c>
      <c r="Z23" s="18">
        <f>SUM(Z24:Z28)</f>
        <v>0</v>
      </c>
      <c r="AA23" s="18">
        <f t="shared" si="6"/>
        <v>19.088</v>
      </c>
      <c r="AB23" s="53">
        <f t="shared" si="4"/>
        <v>-15333.006000000001</v>
      </c>
      <c r="AD23" s="56" t="s">
        <v>16</v>
      </c>
      <c r="AE23" s="79">
        <f>$AA$32+$AA$33+$AA$35+$AA$41+$AA$45+$AA$34</f>
        <v>0</v>
      </c>
      <c r="AF23" s="56"/>
      <c r="AG23" s="33"/>
      <c r="AH23" s="33"/>
      <c r="AI23" s="33"/>
      <c r="AJ23" s="33"/>
      <c r="AK23" s="33"/>
      <c r="AL23" s="33"/>
      <c r="AM23" s="33"/>
      <c r="AN23" s="33"/>
    </row>
    <row r="24" spans="2:31" ht="15.75">
      <c r="B24" s="3" t="s">
        <v>3</v>
      </c>
      <c r="C24" s="23">
        <v>11153.646</v>
      </c>
      <c r="D24" s="7"/>
      <c r="E24" s="7"/>
      <c r="F24" s="7"/>
      <c r="G24" s="7"/>
      <c r="H24" s="7"/>
      <c r="I24" s="7"/>
      <c r="J24" s="8"/>
      <c r="K24" s="7"/>
      <c r="L24" s="7"/>
      <c r="M24" s="7"/>
      <c r="N24" s="7"/>
      <c r="O24" s="7"/>
      <c r="P24" s="7"/>
      <c r="Q24" s="7"/>
      <c r="R24" s="25"/>
      <c r="S24" s="7"/>
      <c r="T24" s="7"/>
      <c r="U24" s="7"/>
      <c r="V24" s="8"/>
      <c r="W24" s="8"/>
      <c r="X24" s="8"/>
      <c r="Y24" s="7"/>
      <c r="Z24" s="7"/>
      <c r="AA24" s="7">
        <f>SUM(D24:Z24)</f>
        <v>0</v>
      </c>
      <c r="AB24" s="53">
        <f t="shared" si="4"/>
        <v>-11153.646</v>
      </c>
      <c r="AD24" s="56" t="s">
        <v>17</v>
      </c>
      <c r="AE24" s="79">
        <f>$AA$63+$AA$66</f>
        <v>69.719</v>
      </c>
    </row>
    <row r="25" spans="2:31" ht="15.75">
      <c r="B25" s="3" t="s">
        <v>2</v>
      </c>
      <c r="C25" s="23">
        <v>12.302</v>
      </c>
      <c r="D25" s="7"/>
      <c r="E25" s="7"/>
      <c r="F25" s="7"/>
      <c r="G25" s="7"/>
      <c r="H25" s="7"/>
      <c r="I25" s="7"/>
      <c r="J25" s="8"/>
      <c r="K25" s="7"/>
      <c r="L25" s="7"/>
      <c r="M25" s="7"/>
      <c r="N25" s="7"/>
      <c r="O25" s="7"/>
      <c r="P25" s="7"/>
      <c r="Q25" s="7"/>
      <c r="R25" s="25"/>
      <c r="S25" s="7"/>
      <c r="T25" s="7"/>
      <c r="U25" s="7"/>
      <c r="V25" s="8"/>
      <c r="W25" s="8"/>
      <c r="X25" s="8"/>
      <c r="Y25" s="7"/>
      <c r="Z25" s="7"/>
      <c r="AA25" s="7">
        <f>SUM(D25:Z25)</f>
        <v>0</v>
      </c>
      <c r="AB25" s="53">
        <f t="shared" si="4"/>
        <v>-12.302</v>
      </c>
      <c r="AD25" s="56" t="s">
        <v>18</v>
      </c>
      <c r="AE25" s="79">
        <f>$AA$52</f>
        <v>56.855999999999995</v>
      </c>
    </row>
    <row r="26" spans="2:31" ht="15.75">
      <c r="B26" s="3" t="s">
        <v>0</v>
      </c>
      <c r="C26" s="23">
        <v>801.302</v>
      </c>
      <c r="D26" s="7"/>
      <c r="E26" s="7"/>
      <c r="F26" s="7"/>
      <c r="G26" s="7"/>
      <c r="H26" s="7"/>
      <c r="I26" s="7"/>
      <c r="J26" s="8"/>
      <c r="K26" s="7"/>
      <c r="L26" s="7"/>
      <c r="M26" s="7"/>
      <c r="N26" s="7"/>
      <c r="O26" s="7"/>
      <c r="P26" s="7"/>
      <c r="Q26" s="7"/>
      <c r="R26" s="25"/>
      <c r="S26" s="7"/>
      <c r="T26" s="7"/>
      <c r="U26" s="7"/>
      <c r="V26" s="8"/>
      <c r="W26" s="8"/>
      <c r="X26" s="8"/>
      <c r="Y26" s="7"/>
      <c r="Z26" s="7"/>
      <c r="AA26" s="7">
        <f>SUM(D26:Z26)</f>
        <v>0</v>
      </c>
      <c r="AB26" s="53">
        <f t="shared" si="4"/>
        <v>-801.302</v>
      </c>
      <c r="AD26" s="56" t="s">
        <v>19</v>
      </c>
      <c r="AE26" s="79">
        <f>$AA$57</f>
        <v>10.149000000000001</v>
      </c>
    </row>
    <row r="27" spans="2:31" ht="15.75">
      <c r="B27" s="3" t="s">
        <v>1</v>
      </c>
      <c r="C27" s="23">
        <v>2208.018</v>
      </c>
      <c r="D27" s="7"/>
      <c r="E27" s="7"/>
      <c r="F27" s="7"/>
      <c r="G27" s="7"/>
      <c r="H27" s="7"/>
      <c r="I27" s="7"/>
      <c r="J27" s="8"/>
      <c r="K27" s="7"/>
      <c r="L27" s="7"/>
      <c r="M27" s="7"/>
      <c r="N27" s="7"/>
      <c r="O27" s="7"/>
      <c r="P27" s="7"/>
      <c r="Q27" s="7"/>
      <c r="R27" s="25"/>
      <c r="S27" s="7"/>
      <c r="T27" s="7"/>
      <c r="U27" s="7"/>
      <c r="V27" s="8"/>
      <c r="W27" s="8"/>
      <c r="X27" s="8"/>
      <c r="Y27" s="7"/>
      <c r="Z27" s="7"/>
      <c r="AA27" s="7">
        <f>SUM(D27:Z27)</f>
        <v>0</v>
      </c>
      <c r="AB27" s="53">
        <f t="shared" si="4"/>
        <v>-2208.018</v>
      </c>
      <c r="AD27" s="56" t="s">
        <v>20</v>
      </c>
      <c r="AE27" s="79" t="e">
        <f>$AA$49+$AA$70+$AA$74+$AA$75+$AA$76+#REF!+$AA$72</f>
        <v>#REF!</v>
      </c>
    </row>
    <row r="28" spans="2:31" ht="15.75">
      <c r="B28" s="3" t="s">
        <v>5</v>
      </c>
      <c r="C28" s="23">
        <v>1176.826</v>
      </c>
      <c r="D28" s="7"/>
      <c r="E28" s="7">
        <v>19.088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>
        <f>SUM(D28:Z28)</f>
        <v>19.088</v>
      </c>
      <c r="AB28" s="53">
        <f t="shared" si="4"/>
        <v>-1157.738</v>
      </c>
      <c r="AE28" s="80"/>
    </row>
    <row r="29" spans="2:31" ht="29.25">
      <c r="B29" s="13" t="s">
        <v>57</v>
      </c>
      <c r="C29" s="18">
        <f>C30</f>
        <v>1062.108</v>
      </c>
      <c r="D29" s="18">
        <f aca="true" t="shared" si="7" ref="D29:AA29">D30</f>
        <v>0</v>
      </c>
      <c r="E29" s="18">
        <f t="shared" si="7"/>
        <v>0</v>
      </c>
      <c r="F29" s="18">
        <f t="shared" si="7"/>
        <v>0</v>
      </c>
      <c r="G29" s="18">
        <f t="shared" si="7"/>
        <v>0</v>
      </c>
      <c r="H29" s="18">
        <f t="shared" si="7"/>
        <v>0</v>
      </c>
      <c r="I29" s="18">
        <f t="shared" si="7"/>
        <v>0</v>
      </c>
      <c r="J29" s="18">
        <f t="shared" si="7"/>
        <v>0</v>
      </c>
      <c r="K29" s="18">
        <f t="shared" si="7"/>
        <v>0</v>
      </c>
      <c r="L29" s="18">
        <f t="shared" si="7"/>
        <v>0</v>
      </c>
      <c r="M29" s="18">
        <f t="shared" si="7"/>
        <v>0</v>
      </c>
      <c r="N29" s="18">
        <f t="shared" si="7"/>
        <v>0</v>
      </c>
      <c r="O29" s="18">
        <f t="shared" si="7"/>
        <v>0</v>
      </c>
      <c r="P29" s="18">
        <f t="shared" si="7"/>
        <v>0</v>
      </c>
      <c r="Q29" s="18">
        <f t="shared" si="7"/>
        <v>0</v>
      </c>
      <c r="R29" s="18">
        <f t="shared" si="7"/>
        <v>0</v>
      </c>
      <c r="S29" s="18">
        <f t="shared" si="7"/>
        <v>0</v>
      </c>
      <c r="T29" s="18">
        <f t="shared" si="7"/>
        <v>0</v>
      </c>
      <c r="U29" s="18">
        <f t="shared" si="7"/>
        <v>0</v>
      </c>
      <c r="V29" s="18">
        <f t="shared" si="7"/>
        <v>0</v>
      </c>
      <c r="W29" s="18">
        <f t="shared" si="7"/>
        <v>0</v>
      </c>
      <c r="X29" s="18">
        <f t="shared" si="7"/>
        <v>0</v>
      </c>
      <c r="Y29" s="18">
        <f t="shared" si="7"/>
        <v>0</v>
      </c>
      <c r="Z29" s="18">
        <f t="shared" si="7"/>
        <v>0</v>
      </c>
      <c r="AA29" s="18">
        <f t="shared" si="7"/>
        <v>0</v>
      </c>
      <c r="AB29" s="53">
        <f t="shared" si="4"/>
        <v>-1062.108</v>
      </c>
      <c r="AE29" s="80"/>
    </row>
    <row r="30" spans="2:31" ht="15.75">
      <c r="B30" s="55" t="s">
        <v>10</v>
      </c>
      <c r="C30" s="27">
        <v>1062.108</v>
      </c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27"/>
      <c r="Z30" s="27"/>
      <c r="AA30" s="7">
        <f>SUM(D30:Z30)</f>
        <v>0</v>
      </c>
      <c r="AB30" s="53">
        <f t="shared" si="4"/>
        <v>-1062.108</v>
      </c>
      <c r="AE30" s="80"/>
    </row>
    <row r="31" spans="2:31" ht="43.5">
      <c r="B31" s="13" t="s">
        <v>61</v>
      </c>
      <c r="C31" s="18">
        <v>69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>
        <f>SUM(D31:Z31)</f>
        <v>0</v>
      </c>
      <c r="AB31" s="53">
        <f t="shared" si="4"/>
        <v>-69</v>
      </c>
      <c r="AE31" s="80"/>
    </row>
    <row r="32" spans="1:40" s="10" customFormat="1" ht="29.25">
      <c r="A32" s="10" t="s">
        <v>32</v>
      </c>
      <c r="B32" s="13" t="s">
        <v>62</v>
      </c>
      <c r="C32" s="18">
        <v>499.286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60"/>
      <c r="V32" s="60"/>
      <c r="W32" s="60"/>
      <c r="X32" s="18"/>
      <c r="Y32" s="18"/>
      <c r="Z32" s="18"/>
      <c r="AA32" s="18">
        <f>SUM(D32:Z32)</f>
        <v>0</v>
      </c>
      <c r="AB32" s="53">
        <f t="shared" si="4"/>
        <v>-499.286</v>
      </c>
      <c r="AD32" s="44"/>
      <c r="AE32" s="80"/>
      <c r="AF32" s="56"/>
      <c r="AG32" s="33"/>
      <c r="AH32" s="33"/>
      <c r="AI32" s="33"/>
      <c r="AJ32" s="33"/>
      <c r="AK32" s="33"/>
      <c r="AL32" s="33"/>
      <c r="AM32" s="33"/>
      <c r="AN32" s="33"/>
    </row>
    <row r="33" spans="2:40" s="10" customFormat="1" ht="43.5">
      <c r="B33" s="13" t="s">
        <v>41</v>
      </c>
      <c r="C33" s="18">
        <v>424.503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60"/>
      <c r="U33" s="18"/>
      <c r="V33" s="18"/>
      <c r="W33" s="18"/>
      <c r="X33" s="18"/>
      <c r="Y33" s="18"/>
      <c r="Z33" s="18"/>
      <c r="AA33" s="18">
        <f>SUM(D33:Z33)</f>
        <v>0</v>
      </c>
      <c r="AB33" s="53">
        <f t="shared" si="4"/>
        <v>-424.503</v>
      </c>
      <c r="AD33" s="44"/>
      <c r="AE33" s="80"/>
      <c r="AF33" s="56"/>
      <c r="AG33" s="33"/>
      <c r="AH33" s="33"/>
      <c r="AI33" s="33"/>
      <c r="AJ33" s="33"/>
      <c r="AK33" s="33"/>
      <c r="AL33" s="33"/>
      <c r="AM33" s="33"/>
      <c r="AN33" s="33"/>
    </row>
    <row r="34" spans="2:40" s="10" customFormat="1" ht="57.75">
      <c r="B34" s="13" t="s">
        <v>53</v>
      </c>
      <c r="C34" s="18">
        <v>85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>
        <f>SUM(D34:Z34)</f>
        <v>0</v>
      </c>
      <c r="AB34" s="53">
        <f t="shared" si="4"/>
        <v>-85</v>
      </c>
      <c r="AD34" s="44"/>
      <c r="AE34" s="80"/>
      <c r="AF34" s="56"/>
      <c r="AG34" s="33"/>
      <c r="AH34" s="33"/>
      <c r="AI34" s="33"/>
      <c r="AJ34" s="33"/>
      <c r="AK34" s="33"/>
      <c r="AL34" s="33"/>
      <c r="AM34" s="33"/>
      <c r="AN34" s="33"/>
    </row>
    <row r="35" spans="2:40" s="10" customFormat="1" ht="15.75">
      <c r="B35" s="13" t="s">
        <v>34</v>
      </c>
      <c r="C35" s="18">
        <f>SUM(C36:C40)</f>
        <v>591.019</v>
      </c>
      <c r="D35" s="18">
        <f>SUM(D36:D40)</f>
        <v>0</v>
      </c>
      <c r="E35" s="18">
        <f>SUM(E36:E40)</f>
        <v>0</v>
      </c>
      <c r="F35" s="18">
        <f>SUM(F36:F40)</f>
        <v>0</v>
      </c>
      <c r="G35" s="18">
        <f aca="true" t="shared" si="8" ref="G35:S35">SUM(G36:G40)</f>
        <v>0</v>
      </c>
      <c r="H35" s="18">
        <f t="shared" si="8"/>
        <v>0</v>
      </c>
      <c r="I35" s="18">
        <f t="shared" si="8"/>
        <v>0</v>
      </c>
      <c r="J35" s="18">
        <f t="shared" si="8"/>
        <v>0</v>
      </c>
      <c r="K35" s="18">
        <f t="shared" si="8"/>
        <v>0</v>
      </c>
      <c r="L35" s="18">
        <f t="shared" si="8"/>
        <v>0</v>
      </c>
      <c r="M35" s="18">
        <f t="shared" si="8"/>
        <v>0</v>
      </c>
      <c r="N35" s="18">
        <f t="shared" si="8"/>
        <v>0</v>
      </c>
      <c r="O35" s="18">
        <f t="shared" si="8"/>
        <v>0</v>
      </c>
      <c r="P35" s="18">
        <f t="shared" si="8"/>
        <v>0</v>
      </c>
      <c r="Q35" s="18">
        <f t="shared" si="8"/>
        <v>0</v>
      </c>
      <c r="R35" s="18">
        <f t="shared" si="8"/>
        <v>0</v>
      </c>
      <c r="S35" s="18">
        <f t="shared" si="8"/>
        <v>0</v>
      </c>
      <c r="T35" s="18">
        <f>SUM(T36:T40)</f>
        <v>0</v>
      </c>
      <c r="U35" s="18">
        <f>SUM(U36:U40)</f>
        <v>0</v>
      </c>
      <c r="V35" s="18">
        <f aca="true" t="shared" si="9" ref="V35:AA35">SUM(V36:V40)</f>
        <v>0</v>
      </c>
      <c r="W35" s="18">
        <f t="shared" si="9"/>
        <v>0</v>
      </c>
      <c r="X35" s="18">
        <f t="shared" si="9"/>
        <v>0</v>
      </c>
      <c r="Y35" s="18">
        <f t="shared" si="9"/>
        <v>0</v>
      </c>
      <c r="Z35" s="18">
        <f>SUM(Z36:Z40)</f>
        <v>0</v>
      </c>
      <c r="AA35" s="18">
        <f t="shared" si="9"/>
        <v>0</v>
      </c>
      <c r="AB35" s="53">
        <f t="shared" si="4"/>
        <v>-591.019</v>
      </c>
      <c r="AD35" s="44"/>
      <c r="AE35" s="80"/>
      <c r="AF35" s="56"/>
      <c r="AG35" s="33"/>
      <c r="AH35" s="33"/>
      <c r="AI35" s="33"/>
      <c r="AJ35" s="33"/>
      <c r="AK35" s="33"/>
      <c r="AL35" s="33"/>
      <c r="AM35" s="33"/>
      <c r="AN35" s="33"/>
    </row>
    <row r="36" spans="2:40" s="10" customFormat="1" ht="15.75">
      <c r="B36" s="3" t="s">
        <v>3</v>
      </c>
      <c r="C36" s="23">
        <v>522.851</v>
      </c>
      <c r="D36" s="7"/>
      <c r="E36" s="7"/>
      <c r="F36" s="7"/>
      <c r="G36" s="7"/>
      <c r="H36" s="7"/>
      <c r="I36" s="7"/>
      <c r="J36" s="8"/>
      <c r="K36" s="7"/>
      <c r="L36" s="7"/>
      <c r="M36" s="7"/>
      <c r="N36" s="7"/>
      <c r="O36" s="7"/>
      <c r="P36" s="25"/>
      <c r="Q36" s="7"/>
      <c r="R36" s="25"/>
      <c r="S36" s="7"/>
      <c r="T36" s="7"/>
      <c r="U36" s="7"/>
      <c r="V36" s="8"/>
      <c r="W36" s="8"/>
      <c r="X36" s="7"/>
      <c r="Y36" s="7"/>
      <c r="Z36" s="7"/>
      <c r="AA36" s="7">
        <f>SUM(D36:Z36)</f>
        <v>0</v>
      </c>
      <c r="AB36" s="53">
        <f t="shared" si="4"/>
        <v>-522.851</v>
      </c>
      <c r="AD36" s="44"/>
      <c r="AE36" s="80"/>
      <c r="AF36" s="56"/>
      <c r="AG36" s="33"/>
      <c r="AH36" s="33"/>
      <c r="AI36" s="33"/>
      <c r="AJ36" s="33"/>
      <c r="AK36" s="33"/>
      <c r="AL36" s="33"/>
      <c r="AM36" s="33"/>
      <c r="AN36" s="33"/>
    </row>
    <row r="37" spans="2:40" s="10" customFormat="1" ht="15.75">
      <c r="B37" s="3" t="s">
        <v>2</v>
      </c>
      <c r="C37" s="23">
        <v>1.811</v>
      </c>
      <c r="D37" s="7"/>
      <c r="E37" s="7"/>
      <c r="F37" s="7"/>
      <c r="G37" s="7"/>
      <c r="H37" s="7"/>
      <c r="I37" s="7"/>
      <c r="J37" s="8"/>
      <c r="K37" s="7"/>
      <c r="L37" s="7"/>
      <c r="M37" s="7"/>
      <c r="N37" s="7"/>
      <c r="O37" s="7"/>
      <c r="P37" s="25"/>
      <c r="Q37" s="7"/>
      <c r="R37" s="25"/>
      <c r="S37" s="7"/>
      <c r="T37" s="7"/>
      <c r="U37" s="7"/>
      <c r="V37" s="8"/>
      <c r="W37" s="8"/>
      <c r="X37" s="7"/>
      <c r="Y37" s="7"/>
      <c r="Z37" s="7"/>
      <c r="AA37" s="7">
        <f>SUM(D37:Z37)</f>
        <v>0</v>
      </c>
      <c r="AB37" s="53">
        <f t="shared" si="4"/>
        <v>-1.811</v>
      </c>
      <c r="AD37" s="44"/>
      <c r="AE37" s="80"/>
      <c r="AF37" s="56"/>
      <c r="AG37" s="33"/>
      <c r="AH37" s="33"/>
      <c r="AI37" s="33"/>
      <c r="AJ37" s="33"/>
      <c r="AK37" s="33"/>
      <c r="AL37" s="33"/>
      <c r="AM37" s="33"/>
      <c r="AN37" s="33"/>
    </row>
    <row r="38" spans="2:40" s="10" customFormat="1" ht="15.75">
      <c r="B38" s="3" t="s">
        <v>0</v>
      </c>
      <c r="C38" s="23">
        <v>3.3</v>
      </c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25"/>
      <c r="Q38" s="7"/>
      <c r="R38" s="25"/>
      <c r="S38" s="7"/>
      <c r="T38" s="7"/>
      <c r="U38" s="7"/>
      <c r="V38" s="8"/>
      <c r="W38" s="8"/>
      <c r="X38" s="7"/>
      <c r="Y38" s="7"/>
      <c r="Z38" s="7"/>
      <c r="AA38" s="7">
        <f>SUM(D38:Z38)</f>
        <v>0</v>
      </c>
      <c r="AB38" s="53">
        <f t="shared" si="4"/>
        <v>-3.3</v>
      </c>
      <c r="AD38" s="44"/>
      <c r="AE38" s="80"/>
      <c r="AF38" s="56"/>
      <c r="AG38" s="33"/>
      <c r="AH38" s="33"/>
      <c r="AI38" s="33"/>
      <c r="AJ38" s="33"/>
      <c r="AK38" s="33"/>
      <c r="AL38" s="33"/>
      <c r="AM38" s="33"/>
      <c r="AN38" s="33"/>
    </row>
    <row r="39" spans="2:40" s="10" customFormat="1" ht="15.75">
      <c r="B39" s="3" t="s">
        <v>1</v>
      </c>
      <c r="C39" s="23">
        <v>54.417</v>
      </c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25"/>
      <c r="Q39" s="7"/>
      <c r="R39" s="25"/>
      <c r="S39" s="7"/>
      <c r="T39" s="7"/>
      <c r="U39" s="7"/>
      <c r="V39" s="8"/>
      <c r="W39" s="8"/>
      <c r="X39" s="7"/>
      <c r="Y39" s="7"/>
      <c r="Z39" s="7"/>
      <c r="AA39" s="7">
        <f>SUM(D39:Z39)</f>
        <v>0</v>
      </c>
      <c r="AB39" s="53">
        <f t="shared" si="4"/>
        <v>-54.417</v>
      </c>
      <c r="AD39" s="44"/>
      <c r="AE39" s="80"/>
      <c r="AF39" s="56"/>
      <c r="AG39" s="33"/>
      <c r="AH39" s="33"/>
      <c r="AI39" s="33"/>
      <c r="AJ39" s="33"/>
      <c r="AK39" s="33"/>
      <c r="AL39" s="33"/>
      <c r="AM39" s="33"/>
      <c r="AN39" s="33"/>
    </row>
    <row r="40" spans="2:40" s="10" customFormat="1" ht="15.75">
      <c r="B40" s="3" t="s">
        <v>5</v>
      </c>
      <c r="C40" s="23">
        <v>8.64</v>
      </c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>
        <f>SUM(D40:Z40)</f>
        <v>0</v>
      </c>
      <c r="AB40" s="53">
        <f t="shared" si="4"/>
        <v>-8.64</v>
      </c>
      <c r="AD40" s="44"/>
      <c r="AE40" s="80"/>
      <c r="AF40" s="56"/>
      <c r="AG40" s="33"/>
      <c r="AH40" s="33"/>
      <c r="AI40" s="33"/>
      <c r="AJ40" s="33"/>
      <c r="AK40" s="33"/>
      <c r="AL40" s="33"/>
      <c r="AM40" s="33"/>
      <c r="AN40" s="33"/>
    </row>
    <row r="41" spans="2:40" s="10" customFormat="1" ht="15.75">
      <c r="B41" s="13" t="s">
        <v>35</v>
      </c>
      <c r="C41" s="18">
        <f aca="true" t="shared" si="10" ref="C41:S41">SUM(C42:C44)</f>
        <v>259.195</v>
      </c>
      <c r="D41" s="18">
        <f t="shared" si="10"/>
        <v>0</v>
      </c>
      <c r="E41" s="18">
        <f t="shared" si="10"/>
        <v>0</v>
      </c>
      <c r="F41" s="18">
        <f t="shared" si="10"/>
        <v>0</v>
      </c>
      <c r="G41" s="18">
        <f t="shared" si="10"/>
        <v>0</v>
      </c>
      <c r="H41" s="18">
        <f t="shared" si="10"/>
        <v>0</v>
      </c>
      <c r="I41" s="18">
        <f t="shared" si="10"/>
        <v>0</v>
      </c>
      <c r="J41" s="18">
        <f t="shared" si="10"/>
        <v>0</v>
      </c>
      <c r="K41" s="18">
        <f t="shared" si="10"/>
        <v>0</v>
      </c>
      <c r="L41" s="18">
        <f t="shared" si="10"/>
        <v>0</v>
      </c>
      <c r="M41" s="18">
        <f t="shared" si="10"/>
        <v>0</v>
      </c>
      <c r="N41" s="18">
        <f t="shared" si="10"/>
        <v>0</v>
      </c>
      <c r="O41" s="18">
        <f t="shared" si="10"/>
        <v>0</v>
      </c>
      <c r="P41" s="18">
        <f t="shared" si="10"/>
        <v>0</v>
      </c>
      <c r="Q41" s="18">
        <f t="shared" si="10"/>
        <v>0</v>
      </c>
      <c r="R41" s="18">
        <f t="shared" si="10"/>
        <v>0</v>
      </c>
      <c r="S41" s="18">
        <f t="shared" si="10"/>
        <v>0</v>
      </c>
      <c r="T41" s="18">
        <f>SUM(T42:T44)</f>
        <v>0</v>
      </c>
      <c r="U41" s="18">
        <f>SUM(U42:U44)</f>
        <v>0</v>
      </c>
      <c r="V41" s="18">
        <f aca="true" t="shared" si="11" ref="V41:AA41">SUM(V42:V44)</f>
        <v>0</v>
      </c>
      <c r="W41" s="18">
        <f t="shared" si="11"/>
        <v>0</v>
      </c>
      <c r="X41" s="18">
        <f t="shared" si="11"/>
        <v>0</v>
      </c>
      <c r="Y41" s="18">
        <f t="shared" si="11"/>
        <v>0</v>
      </c>
      <c r="Z41" s="18">
        <f>SUM(Z42:Z44)</f>
        <v>0</v>
      </c>
      <c r="AA41" s="18">
        <f t="shared" si="11"/>
        <v>0</v>
      </c>
      <c r="AB41" s="53">
        <f t="shared" si="4"/>
        <v>-259.195</v>
      </c>
      <c r="AD41" s="44"/>
      <c r="AE41" s="80"/>
      <c r="AF41" s="56"/>
      <c r="AG41" s="33"/>
      <c r="AH41" s="33"/>
      <c r="AI41" s="33"/>
      <c r="AJ41" s="33"/>
      <c r="AK41" s="33"/>
      <c r="AL41" s="33"/>
      <c r="AM41" s="33"/>
      <c r="AN41" s="33"/>
    </row>
    <row r="42" spans="2:40" s="10" customFormat="1" ht="15.75">
      <c r="B42" s="3" t="s">
        <v>3</v>
      </c>
      <c r="C42" s="23">
        <v>223.863</v>
      </c>
      <c r="D42" s="7"/>
      <c r="E42" s="7"/>
      <c r="F42" s="7"/>
      <c r="G42" s="7"/>
      <c r="H42" s="7"/>
      <c r="I42" s="7"/>
      <c r="J42" s="8"/>
      <c r="K42" s="7"/>
      <c r="L42" s="7"/>
      <c r="M42" s="7"/>
      <c r="N42" s="7"/>
      <c r="O42" s="7"/>
      <c r="P42" s="25"/>
      <c r="Q42" s="7"/>
      <c r="R42" s="25"/>
      <c r="S42" s="7"/>
      <c r="T42" s="7"/>
      <c r="U42" s="7"/>
      <c r="V42" s="8"/>
      <c r="W42" s="8"/>
      <c r="X42" s="7"/>
      <c r="Y42" s="7"/>
      <c r="Z42" s="7"/>
      <c r="AA42" s="7">
        <f>SUM(D42:Z42)</f>
        <v>0</v>
      </c>
      <c r="AB42" s="53">
        <f t="shared" si="4"/>
        <v>-223.863</v>
      </c>
      <c r="AD42" s="44"/>
      <c r="AE42" s="80"/>
      <c r="AF42" s="56"/>
      <c r="AG42" s="33"/>
      <c r="AH42" s="33"/>
      <c r="AI42" s="33"/>
      <c r="AJ42" s="33"/>
      <c r="AK42" s="33"/>
      <c r="AL42" s="33"/>
      <c r="AM42" s="33"/>
      <c r="AN42" s="33"/>
    </row>
    <row r="43" spans="2:40" s="10" customFormat="1" ht="15.75">
      <c r="B43" s="3" t="s">
        <v>1</v>
      </c>
      <c r="C43" s="23">
        <v>26.514</v>
      </c>
      <c r="D43" s="7"/>
      <c r="E43" s="7"/>
      <c r="F43" s="7"/>
      <c r="G43" s="7"/>
      <c r="H43" s="7"/>
      <c r="I43" s="7"/>
      <c r="J43" s="8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8"/>
      <c r="W43" s="8"/>
      <c r="X43" s="7"/>
      <c r="Y43" s="7"/>
      <c r="Z43" s="7"/>
      <c r="AA43" s="7">
        <f>SUM(D43:Z43)</f>
        <v>0</v>
      </c>
      <c r="AB43" s="53">
        <f t="shared" si="4"/>
        <v>-26.514</v>
      </c>
      <c r="AD43" s="44"/>
      <c r="AE43" s="80"/>
      <c r="AF43" s="56"/>
      <c r="AG43" s="33"/>
      <c r="AH43" s="33"/>
      <c r="AI43" s="33"/>
      <c r="AJ43" s="33"/>
      <c r="AK43" s="33"/>
      <c r="AL43" s="33"/>
      <c r="AM43" s="33"/>
      <c r="AN43" s="33"/>
    </row>
    <row r="44" spans="2:40" s="10" customFormat="1" ht="15.75">
      <c r="B44" s="3" t="s">
        <v>5</v>
      </c>
      <c r="C44" s="23">
        <v>8.818</v>
      </c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>
        <f>SUM(D44:Z44)</f>
        <v>0</v>
      </c>
      <c r="AB44" s="53">
        <f t="shared" si="4"/>
        <v>-8.818</v>
      </c>
      <c r="AD44" s="44"/>
      <c r="AE44" s="80"/>
      <c r="AF44" s="56"/>
      <c r="AG44" s="33"/>
      <c r="AH44" s="33"/>
      <c r="AI44" s="33"/>
      <c r="AJ44" s="33"/>
      <c r="AK44" s="33"/>
      <c r="AL44" s="33"/>
      <c r="AM44" s="33"/>
      <c r="AN44" s="33"/>
    </row>
    <row r="45" spans="2:40" s="10" customFormat="1" ht="15.75">
      <c r="B45" s="13" t="s">
        <v>42</v>
      </c>
      <c r="C45" s="18">
        <f aca="true" t="shared" si="12" ref="C45:Y45">SUM(C46:C48)</f>
        <v>177.925</v>
      </c>
      <c r="D45" s="18">
        <f t="shared" si="12"/>
        <v>0</v>
      </c>
      <c r="E45" s="18">
        <f t="shared" si="12"/>
        <v>0</v>
      </c>
      <c r="F45" s="18">
        <f t="shared" si="12"/>
        <v>0</v>
      </c>
      <c r="G45" s="18">
        <f t="shared" si="12"/>
        <v>0</v>
      </c>
      <c r="H45" s="18">
        <f t="shared" si="12"/>
        <v>0</v>
      </c>
      <c r="I45" s="18">
        <f t="shared" si="12"/>
        <v>0</v>
      </c>
      <c r="J45" s="18">
        <f t="shared" si="12"/>
        <v>0</v>
      </c>
      <c r="K45" s="18">
        <f t="shared" si="12"/>
        <v>0</v>
      </c>
      <c r="L45" s="18">
        <f t="shared" si="12"/>
        <v>0</v>
      </c>
      <c r="M45" s="18">
        <f t="shared" si="12"/>
        <v>0</v>
      </c>
      <c r="N45" s="18">
        <f t="shared" si="12"/>
        <v>0</v>
      </c>
      <c r="O45" s="18">
        <f t="shared" si="12"/>
        <v>0</v>
      </c>
      <c r="P45" s="18">
        <f t="shared" si="12"/>
        <v>0</v>
      </c>
      <c r="Q45" s="18">
        <f t="shared" si="12"/>
        <v>0</v>
      </c>
      <c r="R45" s="18">
        <f t="shared" si="12"/>
        <v>0</v>
      </c>
      <c r="S45" s="18">
        <f t="shared" si="12"/>
        <v>0</v>
      </c>
      <c r="T45" s="18">
        <f>SUM(T46:T48)</f>
        <v>0</v>
      </c>
      <c r="U45" s="18">
        <f t="shared" si="12"/>
        <v>0</v>
      </c>
      <c r="V45" s="18">
        <f t="shared" si="12"/>
        <v>0</v>
      </c>
      <c r="W45" s="18">
        <f t="shared" si="12"/>
        <v>0</v>
      </c>
      <c r="X45" s="18">
        <f t="shared" si="12"/>
        <v>0</v>
      </c>
      <c r="Y45" s="18">
        <f t="shared" si="12"/>
        <v>0</v>
      </c>
      <c r="Z45" s="18">
        <f>SUM(Z46:Z48)</f>
        <v>0</v>
      </c>
      <c r="AA45" s="18">
        <f>SUM(D45:Y45)</f>
        <v>0</v>
      </c>
      <c r="AB45" s="53">
        <f t="shared" si="4"/>
        <v>-177.925</v>
      </c>
      <c r="AD45" s="44"/>
      <c r="AE45" s="80"/>
      <c r="AF45" s="56"/>
      <c r="AG45" s="33"/>
      <c r="AH45" s="33"/>
      <c r="AI45" s="33"/>
      <c r="AJ45" s="33"/>
      <c r="AK45" s="33"/>
      <c r="AL45" s="33"/>
      <c r="AM45" s="33"/>
      <c r="AN45" s="33"/>
    </row>
    <row r="46" spans="2:40" s="10" customFormat="1" ht="15.75">
      <c r="B46" s="3" t="s">
        <v>3</v>
      </c>
      <c r="C46" s="23">
        <v>162.037</v>
      </c>
      <c r="D46" s="7"/>
      <c r="E46" s="7"/>
      <c r="F46" s="7"/>
      <c r="G46" s="7"/>
      <c r="H46" s="7"/>
      <c r="I46" s="7"/>
      <c r="J46" s="8"/>
      <c r="K46" s="7"/>
      <c r="L46" s="7"/>
      <c r="M46" s="7"/>
      <c r="N46" s="7"/>
      <c r="O46" s="7"/>
      <c r="P46" s="7"/>
      <c r="Q46" s="7"/>
      <c r="R46" s="25"/>
      <c r="S46" s="7"/>
      <c r="T46" s="7"/>
      <c r="U46" s="7"/>
      <c r="V46" s="8"/>
      <c r="W46" s="8"/>
      <c r="X46" s="8"/>
      <c r="Y46" s="8"/>
      <c r="Z46" s="8"/>
      <c r="AA46" s="7">
        <f>SUM(D46:Z46)</f>
        <v>0</v>
      </c>
      <c r="AB46" s="53">
        <f t="shared" si="4"/>
        <v>-162.037</v>
      </c>
      <c r="AD46" s="44"/>
      <c r="AE46" s="80"/>
      <c r="AF46" s="56"/>
      <c r="AG46" s="33"/>
      <c r="AH46" s="33"/>
      <c r="AI46" s="33"/>
      <c r="AJ46" s="33"/>
      <c r="AK46" s="33"/>
      <c r="AL46" s="33"/>
      <c r="AM46" s="33"/>
      <c r="AN46" s="33"/>
    </row>
    <row r="47" spans="2:40" s="10" customFormat="1" ht="15.75">
      <c r="B47" s="3" t="s">
        <v>1</v>
      </c>
      <c r="C47" s="23">
        <v>8.028</v>
      </c>
      <c r="D47" s="7"/>
      <c r="E47" s="7"/>
      <c r="F47" s="7"/>
      <c r="G47" s="7"/>
      <c r="H47" s="7"/>
      <c r="I47" s="7"/>
      <c r="J47" s="8"/>
      <c r="K47" s="7"/>
      <c r="L47" s="7"/>
      <c r="M47" s="7"/>
      <c r="N47" s="7"/>
      <c r="O47" s="7"/>
      <c r="P47" s="25"/>
      <c r="Q47" s="7"/>
      <c r="R47" s="25"/>
      <c r="S47" s="7"/>
      <c r="T47" s="7"/>
      <c r="U47" s="7"/>
      <c r="V47" s="8"/>
      <c r="W47" s="7"/>
      <c r="X47" s="8"/>
      <c r="Y47" s="8"/>
      <c r="Z47" s="8"/>
      <c r="AA47" s="7">
        <f>SUM(D47:Z47)</f>
        <v>0</v>
      </c>
      <c r="AB47" s="53">
        <f t="shared" si="4"/>
        <v>-8.028</v>
      </c>
      <c r="AD47" s="44"/>
      <c r="AE47" s="80"/>
      <c r="AF47" s="56"/>
      <c r="AG47" s="33"/>
      <c r="AH47" s="33"/>
      <c r="AI47" s="33"/>
      <c r="AJ47" s="33"/>
      <c r="AK47" s="33"/>
      <c r="AL47" s="33"/>
      <c r="AM47" s="33"/>
      <c r="AN47" s="33"/>
    </row>
    <row r="48" spans="2:40" s="10" customFormat="1" ht="15.75">
      <c r="B48" s="3" t="s">
        <v>5</v>
      </c>
      <c r="C48" s="23">
        <v>7.86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>
        <f>SUM(D48:Z48)</f>
        <v>0</v>
      </c>
      <c r="AB48" s="53">
        <f t="shared" si="4"/>
        <v>-7.86</v>
      </c>
      <c r="AD48" s="44"/>
      <c r="AE48" s="80"/>
      <c r="AF48" s="56"/>
      <c r="AG48" s="33"/>
      <c r="AH48" s="33"/>
      <c r="AI48" s="33"/>
      <c r="AJ48" s="33"/>
      <c r="AK48" s="33"/>
      <c r="AL48" s="33"/>
      <c r="AM48" s="33"/>
      <c r="AN48" s="33"/>
    </row>
    <row r="49" spans="1:40" s="10" customFormat="1" ht="15.75">
      <c r="A49" s="10">
        <v>90501</v>
      </c>
      <c r="B49" s="13" t="s">
        <v>43</v>
      </c>
      <c r="C49" s="18">
        <f>C50+C51</f>
        <v>31.877</v>
      </c>
      <c r="D49" s="18">
        <f aca="true" t="shared" si="13" ref="D49:Y49">D50+D51</f>
        <v>0</v>
      </c>
      <c r="E49" s="18">
        <f t="shared" si="13"/>
        <v>5.028</v>
      </c>
      <c r="F49" s="18">
        <f t="shared" si="13"/>
        <v>0</v>
      </c>
      <c r="G49" s="18">
        <f t="shared" si="13"/>
        <v>0</v>
      </c>
      <c r="H49" s="18">
        <f t="shared" si="13"/>
        <v>0</v>
      </c>
      <c r="I49" s="18">
        <f t="shared" si="13"/>
        <v>0</v>
      </c>
      <c r="J49" s="18">
        <f t="shared" si="13"/>
        <v>0</v>
      </c>
      <c r="K49" s="18">
        <f t="shared" si="13"/>
        <v>0</v>
      </c>
      <c r="L49" s="18">
        <f t="shared" si="13"/>
        <v>0</v>
      </c>
      <c r="M49" s="18">
        <f t="shared" si="13"/>
        <v>0</v>
      </c>
      <c r="N49" s="18">
        <f t="shared" si="13"/>
        <v>0</v>
      </c>
      <c r="O49" s="18">
        <f t="shared" si="13"/>
        <v>0</v>
      </c>
      <c r="P49" s="18">
        <f t="shared" si="13"/>
        <v>0</v>
      </c>
      <c r="Q49" s="18">
        <f t="shared" si="13"/>
        <v>0</v>
      </c>
      <c r="R49" s="18">
        <f t="shared" si="13"/>
        <v>0</v>
      </c>
      <c r="S49" s="18">
        <f t="shared" si="13"/>
        <v>0</v>
      </c>
      <c r="T49" s="18">
        <f>T50+T51</f>
        <v>0</v>
      </c>
      <c r="U49" s="18">
        <f>U50+U51</f>
        <v>0</v>
      </c>
      <c r="V49" s="18">
        <f t="shared" si="13"/>
        <v>0</v>
      </c>
      <c r="W49" s="18">
        <f t="shared" si="13"/>
        <v>0</v>
      </c>
      <c r="X49" s="18">
        <f t="shared" si="13"/>
        <v>0</v>
      </c>
      <c r="Y49" s="18">
        <f t="shared" si="13"/>
        <v>0</v>
      </c>
      <c r="Z49" s="18">
        <f>Z50+Z51</f>
        <v>0</v>
      </c>
      <c r="AA49" s="18">
        <f>SUM(D49:Y49)</f>
        <v>5.028</v>
      </c>
      <c r="AB49" s="53">
        <f t="shared" si="4"/>
        <v>-26.849</v>
      </c>
      <c r="AD49" s="44"/>
      <c r="AE49" s="80"/>
      <c r="AF49" s="56"/>
      <c r="AG49" s="33"/>
      <c r="AH49" s="33"/>
      <c r="AI49" s="33"/>
      <c r="AJ49" s="33"/>
      <c r="AK49" s="33"/>
      <c r="AL49" s="33"/>
      <c r="AM49" s="33"/>
      <c r="AN49" s="33"/>
    </row>
    <row r="50" spans="2:40" s="41" customFormat="1" ht="15.75">
      <c r="B50" s="3" t="s">
        <v>3</v>
      </c>
      <c r="C50" s="27">
        <v>11.677</v>
      </c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7">
        <f>SUM(D50:Z50)</f>
        <v>0</v>
      </c>
      <c r="AB50" s="53">
        <f t="shared" si="4"/>
        <v>-11.677</v>
      </c>
      <c r="AD50" s="78"/>
      <c r="AE50" s="77"/>
      <c r="AF50" s="59"/>
      <c r="AG50" s="42"/>
      <c r="AH50" s="42"/>
      <c r="AI50" s="42"/>
      <c r="AJ50" s="42"/>
      <c r="AK50" s="42"/>
      <c r="AL50" s="42"/>
      <c r="AM50" s="42"/>
      <c r="AN50" s="42"/>
    </row>
    <row r="51" spans="2:40" s="41" customFormat="1" ht="15.75">
      <c r="B51" s="3" t="s">
        <v>10</v>
      </c>
      <c r="C51" s="27">
        <v>20.2</v>
      </c>
      <c r="D51" s="8"/>
      <c r="E51" s="8">
        <v>5.028</v>
      </c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7">
        <f>SUM(D51:Z51)</f>
        <v>5.028</v>
      </c>
      <c r="AB51" s="53">
        <f t="shared" si="4"/>
        <v>-15.172</v>
      </c>
      <c r="AD51" s="78"/>
      <c r="AE51" s="77"/>
      <c r="AF51" s="59"/>
      <c r="AG51" s="42"/>
      <c r="AH51" s="42"/>
      <c r="AI51" s="42"/>
      <c r="AJ51" s="42"/>
      <c r="AK51" s="42"/>
      <c r="AL51" s="42"/>
      <c r="AM51" s="42"/>
      <c r="AN51" s="42"/>
    </row>
    <row r="52" spans="1:40" s="10" customFormat="1" ht="15.75">
      <c r="A52" s="10">
        <v>110000</v>
      </c>
      <c r="B52" s="13" t="s">
        <v>36</v>
      </c>
      <c r="C52" s="18">
        <f aca="true" t="shared" si="14" ref="C52:AA52">SUM(C53:C56)</f>
        <v>953.6980000000001</v>
      </c>
      <c r="D52" s="18">
        <f t="shared" si="14"/>
        <v>0</v>
      </c>
      <c r="E52" s="18">
        <f t="shared" si="14"/>
        <v>36.028</v>
      </c>
      <c r="F52" s="18">
        <f t="shared" si="14"/>
        <v>20.828</v>
      </c>
      <c r="G52" s="18">
        <f t="shared" si="14"/>
        <v>0</v>
      </c>
      <c r="H52" s="18">
        <f t="shared" si="14"/>
        <v>0</v>
      </c>
      <c r="I52" s="18">
        <f t="shared" si="14"/>
        <v>0</v>
      </c>
      <c r="J52" s="18">
        <f t="shared" si="14"/>
        <v>0</v>
      </c>
      <c r="K52" s="18">
        <f t="shared" si="14"/>
        <v>0</v>
      </c>
      <c r="L52" s="18">
        <f t="shared" si="14"/>
        <v>0</v>
      </c>
      <c r="M52" s="18">
        <f t="shared" si="14"/>
        <v>0</v>
      </c>
      <c r="N52" s="18">
        <f t="shared" si="14"/>
        <v>0</v>
      </c>
      <c r="O52" s="18">
        <f t="shared" si="14"/>
        <v>0</v>
      </c>
      <c r="P52" s="18">
        <f t="shared" si="14"/>
        <v>0</v>
      </c>
      <c r="Q52" s="18">
        <f t="shared" si="14"/>
        <v>0</v>
      </c>
      <c r="R52" s="18">
        <f t="shared" si="14"/>
        <v>0</v>
      </c>
      <c r="S52" s="18">
        <f t="shared" si="14"/>
        <v>0</v>
      </c>
      <c r="T52" s="18">
        <f>SUM(T53:T56)</f>
        <v>0</v>
      </c>
      <c r="U52" s="18">
        <f t="shared" si="14"/>
        <v>0</v>
      </c>
      <c r="V52" s="18">
        <f t="shared" si="14"/>
        <v>0</v>
      </c>
      <c r="W52" s="18">
        <f t="shared" si="14"/>
        <v>0</v>
      </c>
      <c r="X52" s="18">
        <f t="shared" si="14"/>
        <v>0</v>
      </c>
      <c r="Y52" s="18">
        <f t="shared" si="14"/>
        <v>0</v>
      </c>
      <c r="Z52" s="18">
        <f>SUM(Z53:Z56)</f>
        <v>0</v>
      </c>
      <c r="AA52" s="18">
        <f t="shared" si="14"/>
        <v>56.855999999999995</v>
      </c>
      <c r="AB52" s="53">
        <f t="shared" si="4"/>
        <v>-896.8420000000001</v>
      </c>
      <c r="AC52" s="4"/>
      <c r="AD52" s="56"/>
      <c r="AE52" s="56"/>
      <c r="AF52" s="56"/>
      <c r="AG52" s="33"/>
      <c r="AH52" s="33"/>
      <c r="AI52" s="33"/>
      <c r="AJ52" s="33"/>
      <c r="AK52" s="33"/>
      <c r="AL52" s="33"/>
      <c r="AM52" s="33"/>
      <c r="AN52" s="33"/>
    </row>
    <row r="53" spans="2:28" ht="15.75">
      <c r="B53" s="3" t="s">
        <v>3</v>
      </c>
      <c r="C53" s="23">
        <v>561.494</v>
      </c>
      <c r="D53" s="7"/>
      <c r="E53" s="7"/>
      <c r="F53" s="7">
        <v>20.828</v>
      </c>
      <c r="G53" s="7"/>
      <c r="H53" s="7"/>
      <c r="I53" s="7"/>
      <c r="J53" s="8"/>
      <c r="K53" s="7"/>
      <c r="L53" s="7"/>
      <c r="M53" s="7"/>
      <c r="N53" s="7"/>
      <c r="O53" s="7"/>
      <c r="P53" s="25"/>
      <c r="Q53" s="7"/>
      <c r="R53" s="25"/>
      <c r="S53" s="7"/>
      <c r="T53" s="7"/>
      <c r="U53" s="7"/>
      <c r="V53" s="8"/>
      <c r="W53" s="8"/>
      <c r="X53" s="8"/>
      <c r="Y53" s="7"/>
      <c r="Z53" s="7"/>
      <c r="AA53" s="7">
        <f>SUM(D53:Z53)</f>
        <v>20.828</v>
      </c>
      <c r="AB53" s="53">
        <f t="shared" si="4"/>
        <v>-540.666</v>
      </c>
    </row>
    <row r="54" spans="2:28" ht="15.75">
      <c r="B54" s="3" t="s">
        <v>1</v>
      </c>
      <c r="C54" s="23">
        <v>200.48</v>
      </c>
      <c r="D54" s="7"/>
      <c r="E54" s="7">
        <v>36.028</v>
      </c>
      <c r="F54" s="7"/>
      <c r="G54" s="7"/>
      <c r="H54" s="7"/>
      <c r="I54" s="7"/>
      <c r="J54" s="8"/>
      <c r="K54" s="7"/>
      <c r="L54" s="7"/>
      <c r="M54" s="7"/>
      <c r="N54" s="7"/>
      <c r="O54" s="7"/>
      <c r="P54" s="25"/>
      <c r="Q54" s="7"/>
      <c r="R54" s="25"/>
      <c r="S54" s="7"/>
      <c r="T54" s="7"/>
      <c r="U54" s="7"/>
      <c r="V54" s="8"/>
      <c r="W54" s="8"/>
      <c r="X54" s="8"/>
      <c r="Y54" s="7"/>
      <c r="Z54" s="7"/>
      <c r="AA54" s="7">
        <f>SUM(D54:Z54)</f>
        <v>36.028</v>
      </c>
      <c r="AB54" s="53">
        <f t="shared" si="4"/>
        <v>-164.452</v>
      </c>
    </row>
    <row r="55" spans="2:28" ht="15.75">
      <c r="B55" s="3" t="s">
        <v>9</v>
      </c>
      <c r="C55" s="23">
        <v>6.62</v>
      </c>
      <c r="D55" s="7"/>
      <c r="E55" s="7"/>
      <c r="F55" s="7"/>
      <c r="G55" s="7"/>
      <c r="H55" s="7"/>
      <c r="I55" s="7"/>
      <c r="J55" s="8"/>
      <c r="K55" s="7"/>
      <c r="L55" s="7"/>
      <c r="M55" s="7"/>
      <c r="N55" s="7"/>
      <c r="O55" s="7"/>
      <c r="P55" s="25"/>
      <c r="Q55" s="7"/>
      <c r="R55" s="25"/>
      <c r="S55" s="7"/>
      <c r="T55" s="7"/>
      <c r="U55" s="7"/>
      <c r="V55" s="8"/>
      <c r="W55" s="8"/>
      <c r="X55" s="8"/>
      <c r="Y55" s="7"/>
      <c r="Z55" s="7"/>
      <c r="AA55" s="7">
        <f>SUM(D55:Z55)</f>
        <v>0</v>
      </c>
      <c r="AB55" s="53">
        <f t="shared" si="4"/>
        <v>-6.62</v>
      </c>
    </row>
    <row r="56" spans="2:29" ht="15.75">
      <c r="B56" s="3" t="s">
        <v>5</v>
      </c>
      <c r="C56" s="23">
        <v>185.104</v>
      </c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>
        <f>SUM(D56:Z56)</f>
        <v>0</v>
      </c>
      <c r="AB56" s="53">
        <f t="shared" si="4"/>
        <v>-185.104</v>
      </c>
      <c r="AC56" s="10"/>
    </row>
    <row r="57" spans="1:40" s="10" customFormat="1" ht="15.75">
      <c r="A57" s="10">
        <v>130000</v>
      </c>
      <c r="B57" s="13" t="s">
        <v>37</v>
      </c>
      <c r="C57" s="18">
        <f>SUM(C58:C62)</f>
        <v>583.6030000000001</v>
      </c>
      <c r="D57" s="18">
        <f aca="true" t="shared" si="15" ref="D57:AA57">SUM(D58:D62)</f>
        <v>0</v>
      </c>
      <c r="E57" s="18">
        <f t="shared" si="15"/>
        <v>0</v>
      </c>
      <c r="F57" s="18">
        <f t="shared" si="15"/>
        <v>10.149000000000001</v>
      </c>
      <c r="G57" s="18">
        <f t="shared" si="15"/>
        <v>0</v>
      </c>
      <c r="H57" s="18">
        <f t="shared" si="15"/>
        <v>0</v>
      </c>
      <c r="I57" s="18">
        <f t="shared" si="15"/>
        <v>0</v>
      </c>
      <c r="J57" s="18">
        <f t="shared" si="15"/>
        <v>0</v>
      </c>
      <c r="K57" s="18">
        <f t="shared" si="15"/>
        <v>0</v>
      </c>
      <c r="L57" s="18">
        <f t="shared" si="15"/>
        <v>0</v>
      </c>
      <c r="M57" s="18">
        <f t="shared" si="15"/>
        <v>0</v>
      </c>
      <c r="N57" s="18">
        <f t="shared" si="15"/>
        <v>0</v>
      </c>
      <c r="O57" s="18">
        <f t="shared" si="15"/>
        <v>0</v>
      </c>
      <c r="P57" s="18">
        <f t="shared" si="15"/>
        <v>0</v>
      </c>
      <c r="Q57" s="18">
        <f t="shared" si="15"/>
        <v>0</v>
      </c>
      <c r="R57" s="18">
        <f t="shared" si="15"/>
        <v>0</v>
      </c>
      <c r="S57" s="18">
        <f t="shared" si="15"/>
        <v>0</v>
      </c>
      <c r="T57" s="18">
        <f>SUM(T58:T62)</f>
        <v>0</v>
      </c>
      <c r="U57" s="18">
        <f>SUM(U58:U62)</f>
        <v>0</v>
      </c>
      <c r="V57" s="18">
        <f t="shared" si="15"/>
        <v>0</v>
      </c>
      <c r="W57" s="18">
        <f t="shared" si="15"/>
        <v>0</v>
      </c>
      <c r="X57" s="18">
        <f t="shared" si="15"/>
        <v>0</v>
      </c>
      <c r="Y57" s="18">
        <f t="shared" si="15"/>
        <v>0</v>
      </c>
      <c r="Z57" s="18">
        <f>SUM(Z58:Z62)</f>
        <v>0</v>
      </c>
      <c r="AA57" s="18">
        <f t="shared" si="15"/>
        <v>10.149000000000001</v>
      </c>
      <c r="AB57" s="53">
        <f t="shared" si="4"/>
        <v>-573.4540000000001</v>
      </c>
      <c r="AC57" s="4"/>
      <c r="AD57" s="56"/>
      <c r="AE57" s="56"/>
      <c r="AF57" s="56"/>
      <c r="AG57" s="33"/>
      <c r="AH57" s="33"/>
      <c r="AI57" s="33"/>
      <c r="AJ57" s="33"/>
      <c r="AK57" s="33"/>
      <c r="AL57" s="33"/>
      <c r="AM57" s="33"/>
      <c r="AN57" s="33"/>
    </row>
    <row r="58" spans="2:28" ht="15.75">
      <c r="B58" s="3" t="s">
        <v>3</v>
      </c>
      <c r="C58" s="23">
        <v>393.93</v>
      </c>
      <c r="D58" s="7"/>
      <c r="E58" s="7"/>
      <c r="F58" s="7">
        <v>2.153</v>
      </c>
      <c r="G58" s="7"/>
      <c r="H58" s="7"/>
      <c r="I58" s="7"/>
      <c r="J58" s="25"/>
      <c r="K58" s="7"/>
      <c r="L58" s="7"/>
      <c r="M58" s="7"/>
      <c r="N58" s="7"/>
      <c r="O58" s="7"/>
      <c r="P58" s="25"/>
      <c r="Q58" s="7"/>
      <c r="R58" s="25"/>
      <c r="S58" s="7"/>
      <c r="T58" s="7"/>
      <c r="U58" s="7"/>
      <c r="V58" s="8"/>
      <c r="W58" s="8"/>
      <c r="X58" s="7"/>
      <c r="Y58" s="7"/>
      <c r="Z58" s="7"/>
      <c r="AA58" s="7">
        <f>SUM(D58:Z58)</f>
        <v>2.153</v>
      </c>
      <c r="AB58" s="53">
        <f t="shared" si="4"/>
        <v>-391.777</v>
      </c>
    </row>
    <row r="59" spans="2:28" ht="15.75">
      <c r="B59" s="3" t="s">
        <v>2</v>
      </c>
      <c r="C59" s="23">
        <v>0.5</v>
      </c>
      <c r="D59" s="7"/>
      <c r="E59" s="7"/>
      <c r="F59" s="7"/>
      <c r="G59" s="7"/>
      <c r="H59" s="7"/>
      <c r="I59" s="7"/>
      <c r="J59" s="25"/>
      <c r="K59" s="7"/>
      <c r="L59" s="7"/>
      <c r="M59" s="7"/>
      <c r="N59" s="7"/>
      <c r="O59" s="7"/>
      <c r="P59" s="25"/>
      <c r="Q59" s="7"/>
      <c r="R59" s="25"/>
      <c r="S59" s="7"/>
      <c r="T59" s="7"/>
      <c r="U59" s="7"/>
      <c r="V59" s="8"/>
      <c r="W59" s="8"/>
      <c r="X59" s="7"/>
      <c r="Y59" s="7"/>
      <c r="Z59" s="7"/>
      <c r="AA59" s="7">
        <f>SUM(D59:Z59)</f>
        <v>0</v>
      </c>
      <c r="AB59" s="53">
        <f t="shared" si="4"/>
        <v>-0.5</v>
      </c>
    </row>
    <row r="60" spans="2:28" ht="15.75">
      <c r="B60" s="3" t="s">
        <v>1</v>
      </c>
      <c r="C60" s="23">
        <v>57.017</v>
      </c>
      <c r="D60" s="7"/>
      <c r="E60" s="7"/>
      <c r="F60" s="7"/>
      <c r="G60" s="7"/>
      <c r="H60" s="7"/>
      <c r="I60" s="7"/>
      <c r="J60" s="8"/>
      <c r="K60" s="7"/>
      <c r="L60" s="7"/>
      <c r="M60" s="7"/>
      <c r="N60" s="7"/>
      <c r="O60" s="7"/>
      <c r="P60" s="25"/>
      <c r="Q60" s="7"/>
      <c r="R60" s="7"/>
      <c r="S60" s="7"/>
      <c r="T60" s="7"/>
      <c r="U60" s="7"/>
      <c r="V60" s="8"/>
      <c r="W60" s="8"/>
      <c r="X60" s="7"/>
      <c r="Y60" s="7"/>
      <c r="Z60" s="7"/>
      <c r="AA60" s="7">
        <f>SUM(D60:Z60)</f>
        <v>0</v>
      </c>
      <c r="AB60" s="53">
        <f t="shared" si="4"/>
        <v>-57.017</v>
      </c>
    </row>
    <row r="61" spans="2:28" ht="15.75">
      <c r="B61" s="3" t="s">
        <v>10</v>
      </c>
      <c r="C61" s="23">
        <v>24.863</v>
      </c>
      <c r="D61" s="7"/>
      <c r="E61" s="7"/>
      <c r="F61" s="7"/>
      <c r="G61" s="7"/>
      <c r="H61" s="7"/>
      <c r="I61" s="7"/>
      <c r="J61" s="8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8"/>
      <c r="W61" s="7"/>
      <c r="X61" s="8"/>
      <c r="Y61" s="8"/>
      <c r="Z61" s="8"/>
      <c r="AA61" s="7">
        <f>SUM(D61:Z61)</f>
        <v>0</v>
      </c>
      <c r="AB61" s="53">
        <f t="shared" si="4"/>
        <v>-24.863</v>
      </c>
    </row>
    <row r="62" spans="2:28" ht="15.75">
      <c r="B62" s="3" t="s">
        <v>5</v>
      </c>
      <c r="C62" s="23">
        <v>107.293</v>
      </c>
      <c r="D62" s="7"/>
      <c r="E62" s="7"/>
      <c r="F62" s="7">
        <v>7.996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>
        <f>SUM(D62:Z62)</f>
        <v>7.996</v>
      </c>
      <c r="AB62" s="53">
        <f t="shared" si="4"/>
        <v>-99.29700000000001</v>
      </c>
    </row>
    <row r="63" spans="2:28" ht="15.75">
      <c r="B63" s="13" t="s">
        <v>44</v>
      </c>
      <c r="C63" s="18">
        <f>C64+C65</f>
        <v>2859.286</v>
      </c>
      <c r="D63" s="18">
        <f aca="true" t="shared" si="16" ref="D63:AA63">D64+D65</f>
        <v>0</v>
      </c>
      <c r="E63" s="18">
        <f t="shared" si="16"/>
        <v>0</v>
      </c>
      <c r="F63" s="18">
        <f t="shared" si="16"/>
        <v>69.065</v>
      </c>
      <c r="G63" s="18">
        <f t="shared" si="16"/>
        <v>0</v>
      </c>
      <c r="H63" s="18">
        <f t="shared" si="16"/>
        <v>0</v>
      </c>
      <c r="I63" s="18">
        <f t="shared" si="16"/>
        <v>0</v>
      </c>
      <c r="J63" s="18">
        <f t="shared" si="16"/>
        <v>0</v>
      </c>
      <c r="K63" s="18">
        <f t="shared" si="16"/>
        <v>0</v>
      </c>
      <c r="L63" s="18">
        <f t="shared" si="16"/>
        <v>0</v>
      </c>
      <c r="M63" s="18">
        <f t="shared" si="16"/>
        <v>0</v>
      </c>
      <c r="N63" s="18">
        <f t="shared" si="16"/>
        <v>0</v>
      </c>
      <c r="O63" s="18">
        <f t="shared" si="16"/>
        <v>0</v>
      </c>
      <c r="P63" s="18">
        <f t="shared" si="16"/>
        <v>0</v>
      </c>
      <c r="Q63" s="18">
        <f t="shared" si="16"/>
        <v>0</v>
      </c>
      <c r="R63" s="18">
        <f t="shared" si="16"/>
        <v>0</v>
      </c>
      <c r="S63" s="18">
        <f t="shared" si="16"/>
        <v>0</v>
      </c>
      <c r="T63" s="18">
        <f>T64+T65</f>
        <v>0</v>
      </c>
      <c r="U63" s="18">
        <f t="shared" si="16"/>
        <v>0</v>
      </c>
      <c r="V63" s="18">
        <f t="shared" si="16"/>
        <v>0</v>
      </c>
      <c r="W63" s="18">
        <f t="shared" si="16"/>
        <v>0</v>
      </c>
      <c r="X63" s="18">
        <f t="shared" si="16"/>
        <v>0</v>
      </c>
      <c r="Y63" s="18">
        <f t="shared" si="16"/>
        <v>0</v>
      </c>
      <c r="Z63" s="18">
        <f>Z64+Z65</f>
        <v>0</v>
      </c>
      <c r="AA63" s="18">
        <f t="shared" si="16"/>
        <v>69.065</v>
      </c>
      <c r="AB63" s="53">
        <f t="shared" si="4"/>
        <v>-2790.221</v>
      </c>
    </row>
    <row r="64" spans="2:28" ht="15.75">
      <c r="B64" s="32" t="s">
        <v>49</v>
      </c>
      <c r="C64" s="27">
        <v>185.68</v>
      </c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>
        <f>SUM(D64:Z64)</f>
        <v>0</v>
      </c>
      <c r="AB64" s="53">
        <f t="shared" si="4"/>
        <v>-185.68</v>
      </c>
    </row>
    <row r="65" spans="2:28" ht="15.75">
      <c r="B65" s="32" t="s">
        <v>10</v>
      </c>
      <c r="C65" s="27">
        <v>2673.606</v>
      </c>
      <c r="D65" s="8"/>
      <c r="E65" s="8"/>
      <c r="F65" s="8">
        <v>69.065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>
        <f>SUM(D65:Z65)</f>
        <v>69.065</v>
      </c>
      <c r="AB65" s="53">
        <f t="shared" si="4"/>
        <v>-2604.541</v>
      </c>
    </row>
    <row r="66" spans="2:28" ht="15.75">
      <c r="B66" s="13" t="s">
        <v>63</v>
      </c>
      <c r="C66" s="18">
        <f>C67+C68</f>
        <v>24.104</v>
      </c>
      <c r="D66" s="18">
        <f aca="true" t="shared" si="17" ref="D66:AA66">D67+D68</f>
        <v>0</v>
      </c>
      <c r="E66" s="18">
        <f t="shared" si="17"/>
        <v>0</v>
      </c>
      <c r="F66" s="18">
        <f t="shared" si="17"/>
        <v>0.654</v>
      </c>
      <c r="G66" s="18">
        <f t="shared" si="17"/>
        <v>0</v>
      </c>
      <c r="H66" s="18">
        <f t="shared" si="17"/>
        <v>0</v>
      </c>
      <c r="I66" s="18">
        <f t="shared" si="17"/>
        <v>0</v>
      </c>
      <c r="J66" s="18">
        <f t="shared" si="17"/>
        <v>0</v>
      </c>
      <c r="K66" s="18">
        <f t="shared" si="17"/>
        <v>0</v>
      </c>
      <c r="L66" s="18">
        <f t="shared" si="17"/>
        <v>0</v>
      </c>
      <c r="M66" s="18">
        <f t="shared" si="17"/>
        <v>0</v>
      </c>
      <c r="N66" s="18">
        <f t="shared" si="17"/>
        <v>0</v>
      </c>
      <c r="O66" s="18">
        <f t="shared" si="17"/>
        <v>0</v>
      </c>
      <c r="P66" s="18">
        <f t="shared" si="17"/>
        <v>0</v>
      </c>
      <c r="Q66" s="18">
        <f t="shared" si="17"/>
        <v>0</v>
      </c>
      <c r="R66" s="18">
        <f t="shared" si="17"/>
        <v>0</v>
      </c>
      <c r="S66" s="18">
        <f t="shared" si="17"/>
        <v>0</v>
      </c>
      <c r="T66" s="18">
        <f t="shared" si="17"/>
        <v>0</v>
      </c>
      <c r="U66" s="18">
        <f t="shared" si="17"/>
        <v>0</v>
      </c>
      <c r="V66" s="18">
        <f t="shared" si="17"/>
        <v>0</v>
      </c>
      <c r="W66" s="18">
        <f t="shared" si="17"/>
        <v>0</v>
      </c>
      <c r="X66" s="18">
        <f t="shared" si="17"/>
        <v>0</v>
      </c>
      <c r="Y66" s="18">
        <f t="shared" si="17"/>
        <v>0</v>
      </c>
      <c r="Z66" s="18">
        <f t="shared" si="17"/>
        <v>0</v>
      </c>
      <c r="AA66" s="18">
        <f t="shared" si="17"/>
        <v>0.654</v>
      </c>
      <c r="AB66" s="53">
        <f t="shared" si="4"/>
        <v>-23.45</v>
      </c>
    </row>
    <row r="67" spans="2:28" ht="15.75">
      <c r="B67" s="3" t="s">
        <v>1</v>
      </c>
      <c r="C67" s="27">
        <v>23.45</v>
      </c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>
        <f>SUM(D67:Z67)</f>
        <v>0</v>
      </c>
      <c r="AB67" s="53">
        <f t="shared" si="4"/>
        <v>-23.45</v>
      </c>
    </row>
    <row r="68" spans="2:28" ht="15.75">
      <c r="B68" s="3" t="s">
        <v>10</v>
      </c>
      <c r="C68" s="27">
        <v>0.654</v>
      </c>
      <c r="D68" s="8"/>
      <c r="E68" s="8"/>
      <c r="F68" s="8">
        <v>0.654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>
        <f>SUM(D68:Z68)</f>
        <v>0.654</v>
      </c>
      <c r="AB68" s="53">
        <f t="shared" si="4"/>
        <v>0</v>
      </c>
    </row>
    <row r="69" spans="2:28" ht="45" customHeight="1" hidden="1">
      <c r="B69" s="15" t="s">
        <v>60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>
        <f>AA70</f>
        <v>112</v>
      </c>
      <c r="AB69" s="53">
        <f t="shared" si="4"/>
        <v>112</v>
      </c>
    </row>
    <row r="70" spans="1:29" ht="15.75">
      <c r="A70" s="10">
        <v>170703</v>
      </c>
      <c r="B70" s="13" t="s">
        <v>45</v>
      </c>
      <c r="C70" s="18">
        <f>C71</f>
        <v>1187.2</v>
      </c>
      <c r="D70" s="18">
        <f aca="true" t="shared" si="18" ref="D70:AA70">D71</f>
        <v>0</v>
      </c>
      <c r="E70" s="18">
        <f t="shared" si="18"/>
        <v>0</v>
      </c>
      <c r="F70" s="18">
        <f t="shared" si="18"/>
        <v>112</v>
      </c>
      <c r="G70" s="18">
        <f t="shared" si="18"/>
        <v>0</v>
      </c>
      <c r="H70" s="18">
        <f t="shared" si="18"/>
        <v>0</v>
      </c>
      <c r="I70" s="18">
        <f t="shared" si="18"/>
        <v>0</v>
      </c>
      <c r="J70" s="18">
        <f t="shared" si="18"/>
        <v>0</v>
      </c>
      <c r="K70" s="18">
        <f t="shared" si="18"/>
        <v>0</v>
      </c>
      <c r="L70" s="18">
        <f t="shared" si="18"/>
        <v>0</v>
      </c>
      <c r="M70" s="18">
        <f t="shared" si="18"/>
        <v>0</v>
      </c>
      <c r="N70" s="18">
        <f t="shared" si="18"/>
        <v>0</v>
      </c>
      <c r="O70" s="18">
        <f t="shared" si="18"/>
        <v>0</v>
      </c>
      <c r="P70" s="18">
        <f t="shared" si="18"/>
        <v>0</v>
      </c>
      <c r="Q70" s="18">
        <f t="shared" si="18"/>
        <v>0</v>
      </c>
      <c r="R70" s="18">
        <f t="shared" si="18"/>
        <v>0</v>
      </c>
      <c r="S70" s="18">
        <f t="shared" si="18"/>
        <v>0</v>
      </c>
      <c r="T70" s="18">
        <f t="shared" si="18"/>
        <v>0</v>
      </c>
      <c r="U70" s="18">
        <f t="shared" si="18"/>
        <v>0</v>
      </c>
      <c r="V70" s="18">
        <f t="shared" si="18"/>
        <v>0</v>
      </c>
      <c r="W70" s="18">
        <f t="shared" si="18"/>
        <v>0</v>
      </c>
      <c r="X70" s="18">
        <f t="shared" si="18"/>
        <v>0</v>
      </c>
      <c r="Y70" s="18">
        <f t="shared" si="18"/>
        <v>0</v>
      </c>
      <c r="Z70" s="18">
        <f t="shared" si="18"/>
        <v>0</v>
      </c>
      <c r="AA70" s="18">
        <f t="shared" si="18"/>
        <v>112</v>
      </c>
      <c r="AB70" s="53">
        <f t="shared" si="4"/>
        <v>-1075.2</v>
      </c>
      <c r="AC70" s="35"/>
    </row>
    <row r="71" spans="2:40" s="35" customFormat="1" ht="15.75">
      <c r="B71" s="32" t="s">
        <v>49</v>
      </c>
      <c r="C71" s="27">
        <v>1187.2</v>
      </c>
      <c r="D71" s="8"/>
      <c r="E71" s="8"/>
      <c r="F71" s="8">
        <v>112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>
        <f aca="true" t="shared" si="19" ref="AA71:AA76">SUM(D71:Z71)</f>
        <v>112</v>
      </c>
      <c r="AB71" s="53">
        <f t="shared" si="4"/>
        <v>-1075.2</v>
      </c>
      <c r="AD71" s="78"/>
      <c r="AE71" s="78"/>
      <c r="AF71" s="78"/>
      <c r="AG71" s="36"/>
      <c r="AH71" s="36"/>
      <c r="AI71" s="36"/>
      <c r="AJ71" s="36"/>
      <c r="AK71" s="36"/>
      <c r="AL71" s="36"/>
      <c r="AM71" s="36"/>
      <c r="AN71" s="36"/>
    </row>
    <row r="72" spans="2:40" s="35" customFormat="1" ht="28.5">
      <c r="B72" s="15" t="s">
        <v>51</v>
      </c>
      <c r="C72" s="18">
        <v>10</v>
      </c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>
        <f t="shared" si="19"/>
        <v>0</v>
      </c>
      <c r="AB72" s="53">
        <f t="shared" si="4"/>
        <v>-10</v>
      </c>
      <c r="AD72" s="78"/>
      <c r="AE72" s="78"/>
      <c r="AF72" s="78"/>
      <c r="AG72" s="36"/>
      <c r="AH72" s="36"/>
      <c r="AI72" s="36"/>
      <c r="AJ72" s="36"/>
      <c r="AK72" s="36"/>
      <c r="AL72" s="36"/>
      <c r="AM72" s="36"/>
      <c r="AN72" s="36"/>
    </row>
    <row r="73" spans="2:40" s="35" customFormat="1" ht="28.5">
      <c r="B73" s="15" t="s">
        <v>50</v>
      </c>
      <c r="C73" s="18">
        <v>16.182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>
        <f t="shared" si="19"/>
        <v>0</v>
      </c>
      <c r="AB73" s="53">
        <f t="shared" si="4"/>
        <v>-16.182</v>
      </c>
      <c r="AD73" s="78"/>
      <c r="AE73" s="78"/>
      <c r="AF73" s="78"/>
      <c r="AG73" s="36"/>
      <c r="AH73" s="36"/>
      <c r="AI73" s="36"/>
      <c r="AJ73" s="36"/>
      <c r="AK73" s="36"/>
      <c r="AL73" s="36"/>
      <c r="AM73" s="36"/>
      <c r="AN73" s="36"/>
    </row>
    <row r="74" spans="2:40" s="35" customFormat="1" ht="15.75">
      <c r="B74" s="15" t="s">
        <v>47</v>
      </c>
      <c r="C74" s="18">
        <v>281.128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>
        <f t="shared" si="19"/>
        <v>0</v>
      </c>
      <c r="AB74" s="53">
        <f t="shared" si="4"/>
        <v>-281.128</v>
      </c>
      <c r="AD74" s="78"/>
      <c r="AE74" s="78"/>
      <c r="AF74" s="78"/>
      <c r="AG74" s="36"/>
      <c r="AH74" s="36"/>
      <c r="AI74" s="36"/>
      <c r="AJ74" s="36"/>
      <c r="AK74" s="36"/>
      <c r="AL74" s="36"/>
      <c r="AM74" s="36"/>
      <c r="AN74" s="36"/>
    </row>
    <row r="75" spans="1:40" s="10" customFormat="1" ht="15.75">
      <c r="A75" s="10">
        <v>250102</v>
      </c>
      <c r="B75" s="13" t="s">
        <v>46</v>
      </c>
      <c r="C75" s="18">
        <v>67</v>
      </c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>
        <f t="shared" si="19"/>
        <v>0</v>
      </c>
      <c r="AB75" s="53">
        <f t="shared" si="4"/>
        <v>-67</v>
      </c>
      <c r="AD75" s="56"/>
      <c r="AE75" s="56"/>
      <c r="AF75" s="56"/>
      <c r="AG75" s="33"/>
      <c r="AH75" s="33"/>
      <c r="AI75" s="33"/>
      <c r="AJ75" s="33"/>
      <c r="AK75" s="33"/>
      <c r="AL75" s="33"/>
      <c r="AM75" s="33"/>
      <c r="AN75" s="33"/>
    </row>
    <row r="76" spans="2:40" s="10" customFormat="1" ht="43.5">
      <c r="B76" s="13" t="s">
        <v>14</v>
      </c>
      <c r="C76" s="18">
        <v>0</v>
      </c>
      <c r="D76" s="18"/>
      <c r="E76" s="18">
        <v>8.837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>
        <f t="shared" si="19"/>
        <v>8.837</v>
      </c>
      <c r="AB76" s="53">
        <f t="shared" si="4"/>
        <v>8.837</v>
      </c>
      <c r="AD76" s="56"/>
      <c r="AE76" s="56"/>
      <c r="AF76" s="56"/>
      <c r="AG76" s="33"/>
      <c r="AH76" s="33"/>
      <c r="AI76" s="33"/>
      <c r="AJ76" s="33"/>
      <c r="AK76" s="33"/>
      <c r="AL76" s="33"/>
      <c r="AM76" s="33"/>
      <c r="AN76" s="33"/>
    </row>
    <row r="77" spans="2:40" s="10" customFormat="1" ht="15.75">
      <c r="B77" s="17" t="s">
        <v>7</v>
      </c>
      <c r="C77" s="26">
        <f>SUM(C78:C84)</f>
        <v>28461.653999999995</v>
      </c>
      <c r="D77" s="26">
        <f aca="true" t="shared" si="20" ref="D77:AA77">SUM(D78:D84)</f>
        <v>0</v>
      </c>
      <c r="E77" s="26">
        <f t="shared" si="20"/>
        <v>73.521</v>
      </c>
      <c r="F77" s="26">
        <f t="shared" si="20"/>
        <v>289.265</v>
      </c>
      <c r="G77" s="26">
        <f t="shared" si="20"/>
        <v>0</v>
      </c>
      <c r="H77" s="26">
        <f t="shared" si="20"/>
        <v>0</v>
      </c>
      <c r="I77" s="26">
        <f t="shared" si="20"/>
        <v>0</v>
      </c>
      <c r="J77" s="26">
        <f t="shared" si="20"/>
        <v>0</v>
      </c>
      <c r="K77" s="26">
        <f t="shared" si="20"/>
        <v>0</v>
      </c>
      <c r="L77" s="26">
        <f t="shared" si="20"/>
        <v>0</v>
      </c>
      <c r="M77" s="26">
        <f t="shared" si="20"/>
        <v>0</v>
      </c>
      <c r="N77" s="26">
        <f t="shared" si="20"/>
        <v>0</v>
      </c>
      <c r="O77" s="26">
        <f t="shared" si="20"/>
        <v>0</v>
      </c>
      <c r="P77" s="26">
        <f t="shared" si="20"/>
        <v>0</v>
      </c>
      <c r="Q77" s="26">
        <f t="shared" si="20"/>
        <v>0</v>
      </c>
      <c r="R77" s="26">
        <f t="shared" si="20"/>
        <v>0</v>
      </c>
      <c r="S77" s="26">
        <f t="shared" si="20"/>
        <v>0</v>
      </c>
      <c r="T77" s="26">
        <f>SUM(T78:T84)</f>
        <v>0</v>
      </c>
      <c r="U77" s="26">
        <f t="shared" si="20"/>
        <v>0</v>
      </c>
      <c r="V77" s="26">
        <f t="shared" si="20"/>
        <v>0</v>
      </c>
      <c r="W77" s="26">
        <f t="shared" si="20"/>
        <v>0</v>
      </c>
      <c r="X77" s="26">
        <f t="shared" si="20"/>
        <v>0</v>
      </c>
      <c r="Y77" s="26">
        <f t="shared" si="20"/>
        <v>0</v>
      </c>
      <c r="Z77" s="26">
        <f t="shared" si="20"/>
        <v>0</v>
      </c>
      <c r="AA77" s="26">
        <f t="shared" si="20"/>
        <v>474.78599999999994</v>
      </c>
      <c r="AB77" s="53">
        <f t="shared" si="4"/>
        <v>-27986.867999999995</v>
      </c>
      <c r="AC77" s="4"/>
      <c r="AD77" s="56"/>
      <c r="AE77" s="56"/>
      <c r="AF77" s="56"/>
      <c r="AG77" s="33"/>
      <c r="AH77" s="33"/>
      <c r="AI77" s="33"/>
      <c r="AJ77" s="33"/>
      <c r="AK77" s="33"/>
      <c r="AL77" s="33"/>
      <c r="AM77" s="33"/>
      <c r="AN77" s="33"/>
    </row>
    <row r="78" spans="1:40" s="44" customFormat="1" ht="15.75">
      <c r="A78" s="4"/>
      <c r="B78" s="3" t="s">
        <v>3</v>
      </c>
      <c r="C78" s="23">
        <f aca="true" t="shared" si="21" ref="C78:AA78">C20+C36+C42+C46+C50+C53+C58+C24</f>
        <v>16015.495</v>
      </c>
      <c r="D78" s="23">
        <f t="shared" si="21"/>
        <v>0</v>
      </c>
      <c r="E78" s="23">
        <f t="shared" si="21"/>
        <v>0</v>
      </c>
      <c r="F78" s="23">
        <f t="shared" si="21"/>
        <v>56.895999999999994</v>
      </c>
      <c r="G78" s="23">
        <f t="shared" si="21"/>
        <v>0</v>
      </c>
      <c r="H78" s="23">
        <f t="shared" si="21"/>
        <v>0</v>
      </c>
      <c r="I78" s="23">
        <f t="shared" si="21"/>
        <v>0</v>
      </c>
      <c r="J78" s="23">
        <f t="shared" si="21"/>
        <v>0</v>
      </c>
      <c r="K78" s="23">
        <f t="shared" si="21"/>
        <v>0</v>
      </c>
      <c r="L78" s="23">
        <f t="shared" si="21"/>
        <v>0</v>
      </c>
      <c r="M78" s="23">
        <f t="shared" si="21"/>
        <v>0</v>
      </c>
      <c r="N78" s="23">
        <f t="shared" si="21"/>
        <v>0</v>
      </c>
      <c r="O78" s="23">
        <f t="shared" si="21"/>
        <v>0</v>
      </c>
      <c r="P78" s="23">
        <f t="shared" si="21"/>
        <v>0</v>
      </c>
      <c r="Q78" s="23">
        <f t="shared" si="21"/>
        <v>0</v>
      </c>
      <c r="R78" s="23">
        <f t="shared" si="21"/>
        <v>0</v>
      </c>
      <c r="S78" s="23">
        <f t="shared" si="21"/>
        <v>0</v>
      </c>
      <c r="T78" s="23">
        <f t="shared" si="21"/>
        <v>0</v>
      </c>
      <c r="U78" s="23">
        <f t="shared" si="21"/>
        <v>0</v>
      </c>
      <c r="V78" s="23">
        <f t="shared" si="21"/>
        <v>0</v>
      </c>
      <c r="W78" s="23">
        <f t="shared" si="21"/>
        <v>0</v>
      </c>
      <c r="X78" s="23">
        <f t="shared" si="21"/>
        <v>0</v>
      </c>
      <c r="Y78" s="23">
        <f t="shared" si="21"/>
        <v>0</v>
      </c>
      <c r="Z78" s="23">
        <f t="shared" si="21"/>
        <v>0</v>
      </c>
      <c r="AA78" s="23">
        <f t="shared" si="21"/>
        <v>56.895999999999994</v>
      </c>
      <c r="AB78" s="53">
        <f t="shared" si="4"/>
        <v>-15958.599</v>
      </c>
      <c r="AC78" s="4"/>
      <c r="AG78" s="34"/>
      <c r="AH78" s="34"/>
      <c r="AI78" s="34"/>
      <c r="AJ78" s="34"/>
      <c r="AK78" s="34"/>
      <c r="AL78" s="34"/>
      <c r="AM78" s="34"/>
      <c r="AN78" s="34"/>
    </row>
    <row r="79" spans="1:40" s="44" customFormat="1" ht="15.75">
      <c r="A79" s="4"/>
      <c r="B79" s="3" t="s">
        <v>2</v>
      </c>
      <c r="C79" s="23">
        <f aca="true" t="shared" si="22" ref="C79:AA79">C25+C37+C59</f>
        <v>14.613</v>
      </c>
      <c r="D79" s="23">
        <f t="shared" si="22"/>
        <v>0</v>
      </c>
      <c r="E79" s="23">
        <f t="shared" si="22"/>
        <v>0</v>
      </c>
      <c r="F79" s="23">
        <f t="shared" si="22"/>
        <v>0</v>
      </c>
      <c r="G79" s="23">
        <f t="shared" si="22"/>
        <v>0</v>
      </c>
      <c r="H79" s="23">
        <f t="shared" si="22"/>
        <v>0</v>
      </c>
      <c r="I79" s="23">
        <f t="shared" si="22"/>
        <v>0</v>
      </c>
      <c r="J79" s="23">
        <f t="shared" si="22"/>
        <v>0</v>
      </c>
      <c r="K79" s="23">
        <f t="shared" si="22"/>
        <v>0</v>
      </c>
      <c r="L79" s="23">
        <f t="shared" si="22"/>
        <v>0</v>
      </c>
      <c r="M79" s="23">
        <f t="shared" si="22"/>
        <v>0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0</v>
      </c>
      <c r="R79" s="23">
        <f t="shared" si="22"/>
        <v>0</v>
      </c>
      <c r="S79" s="23">
        <f t="shared" si="22"/>
        <v>0</v>
      </c>
      <c r="T79" s="23">
        <f t="shared" si="22"/>
        <v>0</v>
      </c>
      <c r="U79" s="23">
        <f t="shared" si="22"/>
        <v>0</v>
      </c>
      <c r="V79" s="23">
        <f t="shared" si="22"/>
        <v>0</v>
      </c>
      <c r="W79" s="23">
        <f t="shared" si="22"/>
        <v>0</v>
      </c>
      <c r="X79" s="23">
        <f t="shared" si="22"/>
        <v>0</v>
      </c>
      <c r="Y79" s="23">
        <f t="shared" si="22"/>
        <v>0</v>
      </c>
      <c r="Z79" s="23">
        <f t="shared" si="22"/>
        <v>0</v>
      </c>
      <c r="AA79" s="23">
        <f t="shared" si="22"/>
        <v>0</v>
      </c>
      <c r="AB79" s="53">
        <f t="shared" si="4"/>
        <v>-14.613</v>
      </c>
      <c r="AC79" s="4"/>
      <c r="AG79" s="34"/>
      <c r="AH79" s="34"/>
      <c r="AI79" s="34"/>
      <c r="AJ79" s="34"/>
      <c r="AK79" s="34"/>
      <c r="AL79" s="34"/>
      <c r="AM79" s="34"/>
      <c r="AN79" s="34"/>
    </row>
    <row r="80" spans="1:40" s="44" customFormat="1" ht="15.75">
      <c r="A80" s="4"/>
      <c r="B80" s="3" t="s">
        <v>0</v>
      </c>
      <c r="C80" s="23">
        <f aca="true" t="shared" si="23" ref="C80:AA80">C26+C38</f>
        <v>804.602</v>
      </c>
      <c r="D80" s="23">
        <f t="shared" si="23"/>
        <v>0</v>
      </c>
      <c r="E80" s="23">
        <f t="shared" si="23"/>
        <v>0</v>
      </c>
      <c r="F80" s="23">
        <f t="shared" si="23"/>
        <v>0</v>
      </c>
      <c r="G80" s="23">
        <f t="shared" si="23"/>
        <v>0</v>
      </c>
      <c r="H80" s="23">
        <f t="shared" si="23"/>
        <v>0</v>
      </c>
      <c r="I80" s="23">
        <f t="shared" si="23"/>
        <v>0</v>
      </c>
      <c r="J80" s="23">
        <f t="shared" si="23"/>
        <v>0</v>
      </c>
      <c r="K80" s="23">
        <f t="shared" si="23"/>
        <v>0</v>
      </c>
      <c r="L80" s="23">
        <f t="shared" si="23"/>
        <v>0</v>
      </c>
      <c r="M80" s="23">
        <f t="shared" si="23"/>
        <v>0</v>
      </c>
      <c r="N80" s="23">
        <f t="shared" si="23"/>
        <v>0</v>
      </c>
      <c r="O80" s="23">
        <f t="shared" si="23"/>
        <v>0</v>
      </c>
      <c r="P80" s="23">
        <f t="shared" si="23"/>
        <v>0</v>
      </c>
      <c r="Q80" s="23">
        <f t="shared" si="23"/>
        <v>0</v>
      </c>
      <c r="R80" s="23">
        <f t="shared" si="23"/>
        <v>0</v>
      </c>
      <c r="S80" s="23">
        <f t="shared" si="23"/>
        <v>0</v>
      </c>
      <c r="T80" s="23">
        <f t="shared" si="23"/>
        <v>0</v>
      </c>
      <c r="U80" s="23">
        <f t="shared" si="23"/>
        <v>0</v>
      </c>
      <c r="V80" s="23">
        <f t="shared" si="23"/>
        <v>0</v>
      </c>
      <c r="W80" s="23">
        <f t="shared" si="23"/>
        <v>0</v>
      </c>
      <c r="X80" s="23">
        <f t="shared" si="23"/>
        <v>0</v>
      </c>
      <c r="Y80" s="23">
        <f t="shared" si="23"/>
        <v>0</v>
      </c>
      <c r="Z80" s="23">
        <f t="shared" si="23"/>
        <v>0</v>
      </c>
      <c r="AA80" s="23">
        <f t="shared" si="23"/>
        <v>0</v>
      </c>
      <c r="AB80" s="53">
        <f t="shared" si="4"/>
        <v>-804.602</v>
      </c>
      <c r="AC80" s="4"/>
      <c r="AG80" s="34"/>
      <c r="AH80" s="34"/>
      <c r="AI80" s="34"/>
      <c r="AJ80" s="34"/>
      <c r="AK80" s="34"/>
      <c r="AL80" s="34"/>
      <c r="AM80" s="34"/>
      <c r="AN80" s="34"/>
    </row>
    <row r="81" spans="1:40" s="44" customFormat="1" ht="15.75">
      <c r="A81" s="4"/>
      <c r="B81" s="3" t="s">
        <v>1</v>
      </c>
      <c r="C81" s="23">
        <f aca="true" t="shared" si="24" ref="C81:AA81">C21+C27+C39+C43+C47+C54+C60+C67</f>
        <v>2982.0099999999998</v>
      </c>
      <c r="D81" s="23">
        <f t="shared" si="24"/>
        <v>0</v>
      </c>
      <c r="E81" s="23">
        <f t="shared" si="24"/>
        <v>36.028</v>
      </c>
      <c r="F81" s="23">
        <f t="shared" si="24"/>
        <v>23.715</v>
      </c>
      <c r="G81" s="23">
        <f t="shared" si="24"/>
        <v>0</v>
      </c>
      <c r="H81" s="23">
        <f t="shared" si="24"/>
        <v>0</v>
      </c>
      <c r="I81" s="23">
        <f t="shared" si="24"/>
        <v>0</v>
      </c>
      <c r="J81" s="23">
        <f t="shared" si="24"/>
        <v>0</v>
      </c>
      <c r="K81" s="23">
        <f t="shared" si="24"/>
        <v>0</v>
      </c>
      <c r="L81" s="23">
        <f t="shared" si="24"/>
        <v>0</v>
      </c>
      <c r="M81" s="23">
        <f t="shared" si="24"/>
        <v>0</v>
      </c>
      <c r="N81" s="23">
        <f t="shared" si="24"/>
        <v>0</v>
      </c>
      <c r="O81" s="23">
        <f t="shared" si="24"/>
        <v>0</v>
      </c>
      <c r="P81" s="23">
        <f t="shared" si="24"/>
        <v>0</v>
      </c>
      <c r="Q81" s="23">
        <f t="shared" si="24"/>
        <v>0</v>
      </c>
      <c r="R81" s="23">
        <f t="shared" si="24"/>
        <v>0</v>
      </c>
      <c r="S81" s="23">
        <f t="shared" si="24"/>
        <v>0</v>
      </c>
      <c r="T81" s="23">
        <f t="shared" si="24"/>
        <v>0</v>
      </c>
      <c r="U81" s="23">
        <f t="shared" si="24"/>
        <v>0</v>
      </c>
      <c r="V81" s="23">
        <f t="shared" si="24"/>
        <v>0</v>
      </c>
      <c r="W81" s="23">
        <f t="shared" si="24"/>
        <v>0</v>
      </c>
      <c r="X81" s="23">
        <f t="shared" si="24"/>
        <v>0</v>
      </c>
      <c r="Y81" s="23">
        <f t="shared" si="24"/>
        <v>0</v>
      </c>
      <c r="Z81" s="23">
        <f t="shared" si="24"/>
        <v>0</v>
      </c>
      <c r="AA81" s="23">
        <f t="shared" si="24"/>
        <v>59.742999999999995</v>
      </c>
      <c r="AB81" s="53">
        <f>AA81-C81</f>
        <v>-2922.267</v>
      </c>
      <c r="AC81" s="4"/>
      <c r="AG81" s="34"/>
      <c r="AH81" s="34"/>
      <c r="AI81" s="34"/>
      <c r="AJ81" s="34"/>
      <c r="AK81" s="34"/>
      <c r="AL81" s="34"/>
      <c r="AM81" s="34"/>
      <c r="AN81" s="34"/>
    </row>
    <row r="82" spans="1:40" s="44" customFormat="1" ht="15.75">
      <c r="A82" s="4"/>
      <c r="B82" s="3" t="s">
        <v>9</v>
      </c>
      <c r="C82" s="23">
        <f aca="true" t="shared" si="25" ref="C82:AA82">C55</f>
        <v>6.62</v>
      </c>
      <c r="D82" s="23">
        <f t="shared" si="25"/>
        <v>0</v>
      </c>
      <c r="E82" s="23">
        <f t="shared" si="25"/>
        <v>0</v>
      </c>
      <c r="F82" s="23">
        <f t="shared" si="25"/>
        <v>0</v>
      </c>
      <c r="G82" s="23">
        <f t="shared" si="25"/>
        <v>0</v>
      </c>
      <c r="H82" s="23">
        <f t="shared" si="25"/>
        <v>0</v>
      </c>
      <c r="I82" s="23">
        <f t="shared" si="25"/>
        <v>0</v>
      </c>
      <c r="J82" s="23">
        <f t="shared" si="25"/>
        <v>0</v>
      </c>
      <c r="K82" s="23">
        <f t="shared" si="25"/>
        <v>0</v>
      </c>
      <c r="L82" s="23">
        <f t="shared" si="25"/>
        <v>0</v>
      </c>
      <c r="M82" s="23">
        <f t="shared" si="25"/>
        <v>0</v>
      </c>
      <c r="N82" s="23">
        <f t="shared" si="25"/>
        <v>0</v>
      </c>
      <c r="O82" s="23">
        <f t="shared" si="25"/>
        <v>0</v>
      </c>
      <c r="P82" s="23">
        <f t="shared" si="25"/>
        <v>0</v>
      </c>
      <c r="Q82" s="23">
        <f t="shared" si="25"/>
        <v>0</v>
      </c>
      <c r="R82" s="23">
        <f t="shared" si="25"/>
        <v>0</v>
      </c>
      <c r="S82" s="23">
        <f t="shared" si="25"/>
        <v>0</v>
      </c>
      <c r="T82" s="23">
        <f t="shared" si="25"/>
        <v>0</v>
      </c>
      <c r="U82" s="23">
        <f t="shared" si="25"/>
        <v>0</v>
      </c>
      <c r="V82" s="23">
        <f t="shared" si="25"/>
        <v>0</v>
      </c>
      <c r="W82" s="23">
        <f t="shared" si="25"/>
        <v>0</v>
      </c>
      <c r="X82" s="23">
        <f t="shared" si="25"/>
        <v>0</v>
      </c>
      <c r="Y82" s="23">
        <f t="shared" si="25"/>
        <v>0</v>
      </c>
      <c r="Z82" s="23">
        <f t="shared" si="25"/>
        <v>0</v>
      </c>
      <c r="AA82" s="23">
        <f t="shared" si="25"/>
        <v>0</v>
      </c>
      <c r="AB82" s="53">
        <f>AA82-C82</f>
        <v>-6.62</v>
      </c>
      <c r="AC82" s="4"/>
      <c r="AG82" s="34"/>
      <c r="AH82" s="34"/>
      <c r="AI82" s="34"/>
      <c r="AJ82" s="34"/>
      <c r="AK82" s="34"/>
      <c r="AL82" s="34"/>
      <c r="AM82" s="34"/>
      <c r="AN82" s="34"/>
    </row>
    <row r="83" spans="1:40" s="44" customFormat="1" ht="15.75">
      <c r="A83" s="4"/>
      <c r="B83" s="3" t="s">
        <v>10</v>
      </c>
      <c r="C83" s="23">
        <f>C30+C51+C61+C65+C31+C68</f>
        <v>3850.431</v>
      </c>
      <c r="D83" s="23">
        <f aca="true" t="shared" si="26" ref="D83:AA83">D30+D51+D61+D65+D31+D68</f>
        <v>0</v>
      </c>
      <c r="E83" s="23">
        <f t="shared" si="26"/>
        <v>5.028</v>
      </c>
      <c r="F83" s="23">
        <f t="shared" si="26"/>
        <v>69.719</v>
      </c>
      <c r="G83" s="23">
        <f t="shared" si="26"/>
        <v>0</v>
      </c>
      <c r="H83" s="23">
        <f t="shared" si="26"/>
        <v>0</v>
      </c>
      <c r="I83" s="23">
        <f t="shared" si="26"/>
        <v>0</v>
      </c>
      <c r="J83" s="23">
        <f t="shared" si="26"/>
        <v>0</v>
      </c>
      <c r="K83" s="23">
        <f t="shared" si="26"/>
        <v>0</v>
      </c>
      <c r="L83" s="23">
        <f t="shared" si="26"/>
        <v>0</v>
      </c>
      <c r="M83" s="23">
        <f t="shared" si="26"/>
        <v>0</v>
      </c>
      <c r="N83" s="23">
        <f t="shared" si="26"/>
        <v>0</v>
      </c>
      <c r="O83" s="23">
        <f t="shared" si="26"/>
        <v>0</v>
      </c>
      <c r="P83" s="23">
        <f t="shared" si="26"/>
        <v>0</v>
      </c>
      <c r="Q83" s="23">
        <f t="shared" si="26"/>
        <v>0</v>
      </c>
      <c r="R83" s="23">
        <f t="shared" si="26"/>
        <v>0</v>
      </c>
      <c r="S83" s="23">
        <f t="shared" si="26"/>
        <v>0</v>
      </c>
      <c r="T83" s="23">
        <f t="shared" si="26"/>
        <v>0</v>
      </c>
      <c r="U83" s="23">
        <f t="shared" si="26"/>
        <v>0</v>
      </c>
      <c r="V83" s="23">
        <f t="shared" si="26"/>
        <v>0</v>
      </c>
      <c r="W83" s="23">
        <f t="shared" si="26"/>
        <v>0</v>
      </c>
      <c r="X83" s="23">
        <f t="shared" si="26"/>
        <v>0</v>
      </c>
      <c r="Y83" s="23">
        <f t="shared" si="26"/>
        <v>0</v>
      </c>
      <c r="Z83" s="23">
        <f t="shared" si="26"/>
        <v>0</v>
      </c>
      <c r="AA83" s="23">
        <f t="shared" si="26"/>
        <v>74.747</v>
      </c>
      <c r="AB83" s="53">
        <f>AA83-C83</f>
        <v>-3775.684</v>
      </c>
      <c r="AC83" s="4"/>
      <c r="AG83" s="34"/>
      <c r="AH83" s="34"/>
      <c r="AI83" s="34"/>
      <c r="AJ83" s="34"/>
      <c r="AK83" s="34"/>
      <c r="AL83" s="34"/>
      <c r="AM83" s="34"/>
      <c r="AN83" s="34"/>
    </row>
    <row r="84" spans="1:40" s="44" customFormat="1" ht="15.75">
      <c r="A84" s="4"/>
      <c r="B84" s="3" t="s">
        <v>5</v>
      </c>
      <c r="C84" s="23">
        <f aca="true" t="shared" si="27" ref="C84:AA84">C22+C28+C32+C33+C40+C44+C48+C56+C62+C71+C74+C75+C76+C64+C73+C72+C34+C69</f>
        <v>4787.883</v>
      </c>
      <c r="D84" s="23">
        <f t="shared" si="27"/>
        <v>0</v>
      </c>
      <c r="E84" s="23">
        <f t="shared" si="27"/>
        <v>32.465</v>
      </c>
      <c r="F84" s="23">
        <f t="shared" si="27"/>
        <v>138.935</v>
      </c>
      <c r="G84" s="23">
        <f t="shared" si="27"/>
        <v>0</v>
      </c>
      <c r="H84" s="23">
        <f t="shared" si="27"/>
        <v>0</v>
      </c>
      <c r="I84" s="23">
        <f t="shared" si="27"/>
        <v>0</v>
      </c>
      <c r="J84" s="23">
        <f t="shared" si="27"/>
        <v>0</v>
      </c>
      <c r="K84" s="23">
        <f t="shared" si="27"/>
        <v>0</v>
      </c>
      <c r="L84" s="23">
        <f t="shared" si="27"/>
        <v>0</v>
      </c>
      <c r="M84" s="23">
        <f t="shared" si="27"/>
        <v>0</v>
      </c>
      <c r="N84" s="23">
        <f t="shared" si="27"/>
        <v>0</v>
      </c>
      <c r="O84" s="23">
        <f t="shared" si="27"/>
        <v>0</v>
      </c>
      <c r="P84" s="23">
        <f t="shared" si="27"/>
        <v>0</v>
      </c>
      <c r="Q84" s="23">
        <f t="shared" si="27"/>
        <v>0</v>
      </c>
      <c r="R84" s="23">
        <f t="shared" si="27"/>
        <v>0</v>
      </c>
      <c r="S84" s="23">
        <f t="shared" si="27"/>
        <v>0</v>
      </c>
      <c r="T84" s="23">
        <f t="shared" si="27"/>
        <v>0</v>
      </c>
      <c r="U84" s="23">
        <f t="shared" si="27"/>
        <v>0</v>
      </c>
      <c r="V84" s="23">
        <f t="shared" si="27"/>
        <v>0</v>
      </c>
      <c r="W84" s="23">
        <f t="shared" si="27"/>
        <v>0</v>
      </c>
      <c r="X84" s="23">
        <f t="shared" si="27"/>
        <v>0</v>
      </c>
      <c r="Y84" s="23">
        <f t="shared" si="27"/>
        <v>0</v>
      </c>
      <c r="Z84" s="23">
        <f t="shared" si="27"/>
        <v>0</v>
      </c>
      <c r="AA84" s="23">
        <f t="shared" si="27"/>
        <v>283.4</v>
      </c>
      <c r="AB84" s="53">
        <f>AA84-C84</f>
        <v>-4504.483</v>
      </c>
      <c r="AC84" s="4"/>
      <c r="AG84" s="34"/>
      <c r="AH84" s="34"/>
      <c r="AI84" s="34"/>
      <c r="AJ84" s="34"/>
      <c r="AK84" s="34"/>
      <c r="AL84" s="34"/>
      <c r="AM84" s="34"/>
      <c r="AN84" s="34"/>
    </row>
    <row r="85" spans="1:40" s="44" customFormat="1" ht="15.75">
      <c r="A85" s="4"/>
      <c r="B85" s="4"/>
      <c r="C85" s="2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51"/>
      <c r="AC85" s="4"/>
      <c r="AG85" s="34"/>
      <c r="AH85" s="34"/>
      <c r="AI85" s="34"/>
      <c r="AJ85" s="34"/>
      <c r="AK85" s="34"/>
      <c r="AL85" s="34"/>
      <c r="AM85" s="34"/>
      <c r="AN85" s="34"/>
    </row>
    <row r="86" spans="1:40" s="44" customFormat="1" ht="15.75">
      <c r="A86" s="4"/>
      <c r="B86" s="4" t="s">
        <v>55</v>
      </c>
      <c r="C86" s="30">
        <f aca="true" t="shared" si="28" ref="C86:Y86">C18-C77</f>
        <v>0</v>
      </c>
      <c r="D86" s="20">
        <f t="shared" si="28"/>
        <v>0</v>
      </c>
      <c r="E86" s="20">
        <f t="shared" si="28"/>
        <v>0</v>
      </c>
      <c r="F86" s="20">
        <f t="shared" si="28"/>
        <v>0</v>
      </c>
      <c r="G86" s="20">
        <f t="shared" si="28"/>
        <v>0</v>
      </c>
      <c r="H86" s="20">
        <f t="shared" si="28"/>
        <v>0</v>
      </c>
      <c r="I86" s="20">
        <f t="shared" si="28"/>
        <v>0</v>
      </c>
      <c r="J86" s="20">
        <f t="shared" si="28"/>
        <v>0</v>
      </c>
      <c r="K86" s="20">
        <f t="shared" si="28"/>
        <v>0</v>
      </c>
      <c r="L86" s="20">
        <f t="shared" si="28"/>
        <v>0</v>
      </c>
      <c r="M86" s="20">
        <f t="shared" si="28"/>
        <v>0</v>
      </c>
      <c r="N86" s="20">
        <f t="shared" si="28"/>
        <v>0</v>
      </c>
      <c r="O86" s="20">
        <f t="shared" si="28"/>
        <v>0</v>
      </c>
      <c r="P86" s="20">
        <f t="shared" si="28"/>
        <v>0</v>
      </c>
      <c r="Q86" s="20">
        <f t="shared" si="28"/>
        <v>0</v>
      </c>
      <c r="R86" s="20">
        <f t="shared" si="28"/>
        <v>0</v>
      </c>
      <c r="S86" s="20">
        <f t="shared" si="28"/>
        <v>0</v>
      </c>
      <c r="T86" s="20">
        <f t="shared" si="28"/>
        <v>0</v>
      </c>
      <c r="U86" s="20">
        <f t="shared" si="28"/>
        <v>0</v>
      </c>
      <c r="V86" s="20">
        <f t="shared" si="28"/>
        <v>0</v>
      </c>
      <c r="W86" s="20">
        <f t="shared" si="28"/>
        <v>0</v>
      </c>
      <c r="X86" s="20">
        <f t="shared" si="28"/>
        <v>0</v>
      </c>
      <c r="Y86" s="20">
        <f t="shared" si="28"/>
        <v>0</v>
      </c>
      <c r="Z86" s="20"/>
      <c r="AA86" s="20">
        <f>AA18-AA77</f>
        <v>-111.99999999999994</v>
      </c>
      <c r="AB86" s="51"/>
      <c r="AC86" s="4"/>
      <c r="AG86" s="34"/>
      <c r="AH86" s="34"/>
      <c r="AI86" s="34"/>
      <c r="AJ86" s="34"/>
      <c r="AK86" s="34"/>
      <c r="AL86" s="34"/>
      <c r="AM86" s="34"/>
      <c r="AN86" s="34"/>
    </row>
    <row r="87" spans="1:40" s="44" customFormat="1" ht="15.75">
      <c r="A87" s="4"/>
      <c r="B87" s="4"/>
      <c r="C87" s="31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51"/>
      <c r="AC87" s="4"/>
      <c r="AG87" s="34"/>
      <c r="AH87" s="34"/>
      <c r="AI87" s="34"/>
      <c r="AJ87" s="34"/>
      <c r="AK87" s="34"/>
      <c r="AL87" s="34"/>
      <c r="AM87" s="34"/>
      <c r="AN87" s="34"/>
    </row>
    <row r="88" spans="1:40" s="44" customFormat="1" ht="15.75">
      <c r="A88" s="4"/>
      <c r="B88" s="4"/>
      <c r="C88" s="31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51"/>
      <c r="AC88" s="4"/>
      <c r="AG88" s="34"/>
      <c r="AH88" s="34"/>
      <c r="AI88" s="34"/>
      <c r="AJ88" s="34"/>
      <c r="AK88" s="34"/>
      <c r="AL88" s="34"/>
      <c r="AM88" s="34"/>
      <c r="AN88" s="34"/>
    </row>
    <row r="90" spans="1:40" s="44" customFormat="1" ht="15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51"/>
      <c r="AC90" s="62"/>
      <c r="AG90" s="34"/>
      <c r="AH90" s="34"/>
      <c r="AI90" s="34"/>
      <c r="AJ90" s="34"/>
      <c r="AK90" s="34"/>
      <c r="AL90" s="34"/>
      <c r="AM90" s="34"/>
      <c r="AN90" s="34"/>
    </row>
    <row r="169" ht="15.75">
      <c r="B169" s="51" t="s">
        <v>29</v>
      </c>
    </row>
  </sheetData>
  <sheetProtection/>
  <mergeCells count="1">
    <mergeCell ref="B3:AA3"/>
  </mergeCells>
  <printOptions/>
  <pageMargins left="0.75" right="0.75" top="1" bottom="1" header="0.5" footer="0.5"/>
  <pageSetup horizontalDpi="600" verticalDpi="600" orientation="portrait" paperSize="9" scale="34" r:id="rId2"/>
  <colBreaks count="1" manualBreakCount="1">
    <brk id="27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ТАРАН</cp:lastModifiedBy>
  <cp:lastPrinted>2019-03-15T06:34:20Z</cp:lastPrinted>
  <dcterms:created xsi:type="dcterms:W3CDTF">2002-11-05T08:53:00Z</dcterms:created>
  <dcterms:modified xsi:type="dcterms:W3CDTF">2019-04-03T10:40:00Z</dcterms:modified>
  <cp:category/>
  <cp:version/>
  <cp:contentType/>
  <cp:contentStatus/>
</cp:coreProperties>
</file>